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itrosutrecht-my.sharepoint.com/personal/ahofenk_woonin_nl/Documents/Documenten/A3/Kameroen Werkt/Financien 2023/"/>
    </mc:Choice>
  </mc:AlternateContent>
  <xr:revisionPtr revIDLastSave="2" documentId="8_{70D008B1-FE2B-4CE0-A8E7-344B6C427348}" xr6:coauthVersionLast="47" xr6:coauthVersionMax="47" xr10:uidLastSave="{A419B941-7387-4A71-BD88-CE521F91DE9B}"/>
  <bookViews>
    <workbookView minimized="1" xWindow="2436" yWindow="2436" windowWidth="2388" windowHeight="564" xr2:uid="{00000000-000D-0000-FFFF-FFFF00000000}"/>
  </bookViews>
  <sheets>
    <sheet name="Balans" sheetId="1" r:id="rId1"/>
    <sheet name="SHBM" sheetId="3" r:id="rId2"/>
    <sheet name="Bankmutaties" sheetId="5" r:id="rId3"/>
    <sheet name="Sponsoring Bymyra" sheetId="6" r:id="rId4"/>
    <sheet name="Sponsoring Kameroen" sheetId="8" r:id="rId5"/>
  </sheets>
  <definedNames>
    <definedName name="_xlnm.Print_Area" localSheetId="0">Balans!$A$1:$G$51</definedName>
    <definedName name="_xlnm.Print_Area" localSheetId="1">SHBM!$A$1:$G$44</definedName>
    <definedName name="_xlnm.Print_Area" localSheetId="4">'Sponsoring Kameroen'!$A$1:$K$15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C10" i="1"/>
  <c r="C6" i="1"/>
  <c r="C35" i="1"/>
  <c r="C34" i="1"/>
  <c r="C47" i="1"/>
  <c r="F19" i="1"/>
  <c r="F17" i="1"/>
  <c r="C39" i="1" s="1"/>
  <c r="C42" i="1"/>
  <c r="C41" i="1"/>
  <c r="C40" i="1"/>
  <c r="B19" i="1"/>
  <c r="C19" i="1" s="1"/>
  <c r="C12" i="1"/>
  <c r="C11" i="1"/>
  <c r="G11" i="1"/>
  <c r="G10" i="1"/>
  <c r="G12" i="1"/>
  <c r="F39" i="3" l="1"/>
  <c r="F33" i="3"/>
  <c r="F38" i="3"/>
  <c r="F32" i="3"/>
  <c r="F37" i="3"/>
  <c r="F31" i="3"/>
  <c r="F36" i="3"/>
  <c r="F30" i="3"/>
  <c r="G42" i="3"/>
  <c r="F27" i="3"/>
  <c r="F26" i="3"/>
  <c r="F19" i="3"/>
  <c r="G24" i="3"/>
  <c r="F18" i="3"/>
  <c r="F17" i="3"/>
  <c r="F16" i="3"/>
  <c r="F15" i="3"/>
  <c r="F14" i="3"/>
  <c r="F13" i="3"/>
  <c r="F12" i="3"/>
  <c r="F11" i="3"/>
  <c r="G7" i="3"/>
  <c r="G9" i="3"/>
  <c r="G22" i="3"/>
  <c r="G5" i="3"/>
  <c r="C33" i="3"/>
  <c r="C31" i="3"/>
  <c r="B28" i="3"/>
  <c r="B27" i="3"/>
  <c r="B26" i="3"/>
  <c r="B23" i="3"/>
  <c r="B22" i="3"/>
  <c r="C20" i="3"/>
  <c r="B16" i="3"/>
  <c r="B17" i="3"/>
  <c r="B11" i="3"/>
  <c r="B10" i="3"/>
  <c r="B9" i="3"/>
  <c r="B8" i="3"/>
  <c r="B7" i="3"/>
  <c r="B6" i="3"/>
  <c r="B5" i="3"/>
  <c r="C14" i="3"/>
  <c r="G20" i="3" l="1"/>
  <c r="C29" i="3"/>
  <c r="B325" i="5"/>
  <c r="B321" i="5"/>
  <c r="B312" i="5"/>
  <c r="B309" i="5"/>
  <c r="B307" i="5"/>
  <c r="B304" i="5"/>
  <c r="B299" i="5"/>
  <c r="B294" i="5"/>
  <c r="B289" i="5"/>
  <c r="B288" i="5"/>
  <c r="B291" i="5" s="1"/>
  <c r="B287" i="5"/>
  <c r="B283" i="5"/>
  <c r="B280" i="5"/>
  <c r="B277" i="5"/>
  <c r="B273" i="5"/>
  <c r="B274" i="5" s="1"/>
  <c r="B269" i="5"/>
  <c r="B267" i="5"/>
  <c r="B264" i="5"/>
  <c r="B258" i="5"/>
  <c r="B261" i="5" s="1"/>
  <c r="B256" i="5"/>
  <c r="B253" i="5"/>
  <c r="B247" i="5"/>
  <c r="B236" i="5"/>
  <c r="B233" i="5"/>
  <c r="B228" i="5"/>
  <c r="B230" i="5" s="1"/>
  <c r="B225" i="5"/>
  <c r="B179" i="5"/>
  <c r="B175" i="5"/>
  <c r="B172" i="5"/>
  <c r="B165" i="5"/>
  <c r="B156" i="5"/>
  <c r="B98" i="5"/>
  <c r="B94" i="5"/>
  <c r="B79" i="5"/>
  <c r="B74" i="5"/>
  <c r="B66" i="5"/>
  <c r="B63" i="5"/>
  <c r="B27" i="5"/>
  <c r="B22" i="5"/>
  <c r="B6" i="5"/>
  <c r="B3" i="5"/>
  <c r="B238" i="5" s="1"/>
  <c r="B327" i="5" l="1"/>
  <c r="C49" i="1" l="1"/>
  <c r="G15" i="8" l="1"/>
  <c r="F15" i="8"/>
  <c r="E15" i="8"/>
  <c r="G14" i="8"/>
  <c r="F14" i="8"/>
  <c r="E14" i="8"/>
  <c r="G13" i="8"/>
  <c r="F13" i="8"/>
  <c r="E13" i="8"/>
  <c r="K10" i="8"/>
  <c r="J10" i="8"/>
  <c r="I10" i="8"/>
  <c r="H10" i="8"/>
  <c r="G10" i="8"/>
  <c r="I9" i="8"/>
  <c r="H9" i="8"/>
  <c r="G9" i="8"/>
  <c r="F9" i="8"/>
  <c r="E9" i="8"/>
  <c r="I8" i="8"/>
  <c r="H8" i="8"/>
  <c r="G8" i="8"/>
  <c r="F8" i="8"/>
  <c r="E8" i="8"/>
  <c r="I7" i="8"/>
  <c r="H7" i="8"/>
  <c r="G7" i="8"/>
  <c r="F7" i="8"/>
  <c r="E7" i="8"/>
  <c r="I6" i="8"/>
  <c r="H6" i="8"/>
  <c r="G6" i="8"/>
  <c r="F6" i="8"/>
  <c r="E6" i="8"/>
  <c r="I5" i="8"/>
  <c r="H5" i="8"/>
  <c r="G5" i="8"/>
  <c r="F5" i="8"/>
  <c r="E5" i="8"/>
  <c r="I4" i="8"/>
  <c r="H4" i="8"/>
  <c r="G4" i="8"/>
  <c r="F4" i="8"/>
  <c r="E4" i="8"/>
  <c r="G1" i="8"/>
  <c r="O98" i="6"/>
  <c r="N98" i="6"/>
  <c r="M98" i="6"/>
  <c r="L98" i="6"/>
  <c r="K98" i="6"/>
  <c r="J98" i="6"/>
  <c r="I98" i="6"/>
  <c r="H98" i="6"/>
  <c r="K95" i="6"/>
  <c r="K94" i="6"/>
  <c r="K91" i="6"/>
  <c r="O86" i="6"/>
  <c r="N86" i="6"/>
  <c r="M86" i="6"/>
  <c r="L86" i="6"/>
  <c r="K86" i="6"/>
  <c r="O85" i="6"/>
  <c r="N85" i="6"/>
  <c r="M85" i="6"/>
  <c r="L85" i="6"/>
  <c r="K85" i="6"/>
  <c r="O84" i="6"/>
  <c r="N84" i="6"/>
  <c r="M84" i="6"/>
  <c r="L84" i="6"/>
  <c r="K84" i="6"/>
  <c r="O83" i="6"/>
  <c r="O88" i="6" s="1"/>
  <c r="N83" i="6"/>
  <c r="M83" i="6"/>
  <c r="L83" i="6"/>
  <c r="K83" i="6"/>
  <c r="O82" i="6"/>
  <c r="N82" i="6"/>
  <c r="M82" i="6"/>
  <c r="L82" i="6"/>
  <c r="K82" i="6"/>
  <c r="N81" i="6"/>
  <c r="M81" i="6"/>
  <c r="L81" i="6"/>
  <c r="K81" i="6"/>
  <c r="J81" i="6"/>
  <c r="N80" i="6"/>
  <c r="M80" i="6"/>
  <c r="L80" i="6"/>
  <c r="K80" i="6"/>
  <c r="J80" i="6"/>
  <c r="N79" i="6"/>
  <c r="M79" i="6"/>
  <c r="L79" i="6"/>
  <c r="K79" i="6"/>
  <c r="J79" i="6"/>
  <c r="N78" i="6"/>
  <c r="M78" i="6"/>
  <c r="L78" i="6"/>
  <c r="K78" i="6"/>
  <c r="K93" i="6" s="1"/>
  <c r="J78" i="6"/>
  <c r="M77" i="6"/>
  <c r="L77" i="6"/>
  <c r="P77" i="6" s="1"/>
  <c r="K77" i="6"/>
  <c r="J77" i="6"/>
  <c r="I77" i="6"/>
  <c r="M76" i="6"/>
  <c r="L76" i="6"/>
  <c r="K76" i="6"/>
  <c r="J76" i="6"/>
  <c r="I76" i="6"/>
  <c r="M75" i="6"/>
  <c r="L75" i="6"/>
  <c r="K75" i="6"/>
  <c r="J75" i="6"/>
  <c r="I75" i="6"/>
  <c r="N74" i="6"/>
  <c r="N88" i="6" s="1"/>
  <c r="M74" i="6"/>
  <c r="L74" i="6"/>
  <c r="K74" i="6"/>
  <c r="J74" i="6"/>
  <c r="M73" i="6"/>
  <c r="L73" i="6"/>
  <c r="K73" i="6"/>
  <c r="J73" i="6"/>
  <c r="M71" i="6"/>
  <c r="L71" i="6"/>
  <c r="K71" i="6"/>
  <c r="J71" i="6"/>
  <c r="M70" i="6"/>
  <c r="M88" i="6" s="1"/>
  <c r="L70" i="6"/>
  <c r="K70" i="6"/>
  <c r="J70" i="6"/>
  <c r="L69" i="6"/>
  <c r="K69" i="6"/>
  <c r="J69" i="6"/>
  <c r="I69" i="6"/>
  <c r="H69" i="6"/>
  <c r="L68" i="6"/>
  <c r="K68" i="6"/>
  <c r="J68" i="6"/>
  <c r="I68" i="6"/>
  <c r="H68" i="6"/>
  <c r="L67" i="6"/>
  <c r="K67" i="6"/>
  <c r="J67" i="6"/>
  <c r="I67" i="6"/>
  <c r="H67" i="6"/>
  <c r="L66" i="6"/>
  <c r="K66" i="6"/>
  <c r="J66" i="6"/>
  <c r="I66" i="6"/>
  <c r="H66" i="6"/>
  <c r="L65" i="6"/>
  <c r="K65" i="6"/>
  <c r="J65" i="6"/>
  <c r="I65" i="6"/>
  <c r="H65" i="6"/>
  <c r="L64" i="6"/>
  <c r="K64" i="6"/>
  <c r="J64" i="6"/>
  <c r="I64" i="6"/>
  <c r="H64" i="6"/>
  <c r="L63" i="6"/>
  <c r="K63" i="6"/>
  <c r="J63" i="6"/>
  <c r="I63" i="6"/>
  <c r="H63" i="6"/>
  <c r="L62" i="6"/>
  <c r="K62" i="6"/>
  <c r="J62" i="6"/>
  <c r="I62" i="6"/>
  <c r="H62" i="6"/>
  <c r="L61" i="6"/>
  <c r="K61" i="6"/>
  <c r="J61" i="6"/>
  <c r="I61" i="6"/>
  <c r="H61" i="6"/>
  <c r="L60" i="6"/>
  <c r="K60" i="6"/>
  <c r="J60" i="6"/>
  <c r="I60" i="6"/>
  <c r="H60" i="6"/>
  <c r="L59" i="6"/>
  <c r="K59" i="6"/>
  <c r="J59" i="6"/>
  <c r="I59" i="6"/>
  <c r="H59" i="6"/>
  <c r="L58" i="6"/>
  <c r="K58" i="6"/>
  <c r="J58" i="6"/>
  <c r="I58" i="6"/>
  <c r="H58" i="6"/>
  <c r="L57" i="6"/>
  <c r="K57" i="6"/>
  <c r="J57" i="6"/>
  <c r="I57" i="6"/>
  <c r="H57" i="6"/>
  <c r="L56" i="6"/>
  <c r="K56" i="6"/>
  <c r="J56" i="6"/>
  <c r="I56" i="6"/>
  <c r="H56" i="6"/>
  <c r="L55" i="6"/>
  <c r="K55" i="6"/>
  <c r="J55" i="6"/>
  <c r="I55" i="6"/>
  <c r="H55" i="6"/>
  <c r="L54" i="6"/>
  <c r="K54" i="6"/>
  <c r="J54" i="6"/>
  <c r="I54" i="6"/>
  <c r="H54" i="6"/>
  <c r="L53" i="6"/>
  <c r="P53" i="6" s="1"/>
  <c r="K53" i="6"/>
  <c r="J53" i="6"/>
  <c r="I53" i="6"/>
  <c r="H53" i="6"/>
  <c r="L52" i="6"/>
  <c r="P52" i="6" s="1"/>
  <c r="K52" i="6"/>
  <c r="J52" i="6"/>
  <c r="I52" i="6"/>
  <c r="H52" i="6"/>
  <c r="L51" i="6"/>
  <c r="P51" i="6" s="1"/>
  <c r="K51" i="6"/>
  <c r="J51" i="6"/>
  <c r="I51" i="6"/>
  <c r="H51" i="6"/>
  <c r="L50" i="6"/>
  <c r="K50" i="6"/>
  <c r="J50" i="6"/>
  <c r="I50" i="6"/>
  <c r="H50" i="6"/>
  <c r="L49" i="6"/>
  <c r="K49" i="6"/>
  <c r="J49" i="6"/>
  <c r="I49" i="6"/>
  <c r="H49" i="6"/>
  <c r="L48" i="6"/>
  <c r="P48" i="6" s="1"/>
  <c r="K48" i="6"/>
  <c r="J48" i="6"/>
  <c r="I48" i="6"/>
  <c r="H48" i="6"/>
  <c r="P47" i="6"/>
  <c r="L47" i="6"/>
  <c r="K47" i="6"/>
  <c r="J47" i="6"/>
  <c r="I47" i="6"/>
  <c r="H47" i="6"/>
  <c r="L46" i="6"/>
  <c r="P46" i="6" s="1"/>
  <c r="K46" i="6"/>
  <c r="J46" i="6"/>
  <c r="I46" i="6"/>
  <c r="H46" i="6"/>
  <c r="L45" i="6"/>
  <c r="K45" i="6"/>
  <c r="J45" i="6"/>
  <c r="I45" i="6"/>
  <c r="H45" i="6"/>
  <c r="H88" i="6" s="1"/>
  <c r="L44" i="6"/>
  <c r="K44" i="6"/>
  <c r="J44" i="6"/>
  <c r="I44" i="6"/>
  <c r="H44" i="6"/>
  <c r="L43" i="6"/>
  <c r="K43" i="6"/>
  <c r="J43" i="6"/>
  <c r="I43" i="6"/>
  <c r="H43" i="6"/>
  <c r="P42" i="6"/>
  <c r="P41" i="6"/>
  <c r="L39" i="6"/>
  <c r="K39" i="6"/>
  <c r="J39" i="6"/>
  <c r="P38" i="6"/>
  <c r="L37" i="6"/>
  <c r="K37" i="6"/>
  <c r="J37" i="6"/>
  <c r="P36" i="6"/>
  <c r="L34" i="6"/>
  <c r="K34" i="6"/>
  <c r="J34" i="6"/>
  <c r="I34" i="6"/>
  <c r="L33" i="6"/>
  <c r="K33" i="6"/>
  <c r="J33" i="6"/>
  <c r="L29" i="6"/>
  <c r="L88" i="6" s="1"/>
  <c r="K29" i="6"/>
  <c r="K88" i="6" s="1"/>
  <c r="J29" i="6"/>
  <c r="J88" i="6" s="1"/>
  <c r="I29" i="6"/>
  <c r="I88" i="6" s="1"/>
  <c r="P28" i="6"/>
  <c r="P88" i="6" s="1"/>
  <c r="P27" i="6"/>
  <c r="P26" i="6"/>
  <c r="P25" i="6"/>
  <c r="P24" i="6"/>
  <c r="P14" i="6"/>
  <c r="K1" i="6"/>
  <c r="K90" i="6" l="1"/>
  <c r="L99" i="6"/>
  <c r="N99" i="6"/>
  <c r="M100" i="6"/>
  <c r="M99" i="6"/>
  <c r="O100" i="6"/>
  <c r="O99" i="6"/>
  <c r="M101" i="6" l="1"/>
  <c r="O101" i="6"/>
  <c r="K104" i="6"/>
  <c r="K92" i="6"/>
  <c r="K96" i="6" s="1"/>
  <c r="K105" i="6"/>
  <c r="N101" i="6"/>
  <c r="N100" i="6"/>
  <c r="L100" i="6"/>
  <c r="P100" i="6" s="1"/>
  <c r="K106" i="6" l="1"/>
  <c r="L101" i="6"/>
  <c r="C33" i="1" l="1"/>
  <c r="C36" i="1" s="1"/>
  <c r="C16" i="1" s="1"/>
  <c r="C29" i="1"/>
  <c r="C28" i="1"/>
  <c r="C50" i="1"/>
  <c r="F11" i="1"/>
  <c r="F12" i="1"/>
  <c r="F10" i="1"/>
  <c r="B12" i="1"/>
  <c r="C48" i="1"/>
  <c r="B11" i="1" l="1"/>
  <c r="F15" i="1" l="1"/>
  <c r="C46" i="1" s="1"/>
  <c r="F9" i="1"/>
  <c r="G9" i="1" s="1"/>
  <c r="F8" i="1"/>
  <c r="G8" i="1" s="1"/>
  <c r="F7" i="1"/>
  <c r="G7" i="1" s="1"/>
  <c r="F6" i="1"/>
  <c r="B16" i="1"/>
  <c r="G6" i="1" l="1"/>
  <c r="G33" i="1"/>
  <c r="B14" i="1"/>
  <c r="B9" i="1"/>
  <c r="C9" i="1" s="1"/>
  <c r="B8" i="1"/>
  <c r="C8" i="1" s="1"/>
  <c r="B6" i="1"/>
  <c r="B10" i="1"/>
  <c r="G34" i="3" l="1"/>
  <c r="G40" i="3"/>
  <c r="G44" i="3" l="1"/>
  <c r="C24" i="3"/>
  <c r="C12" i="3"/>
  <c r="C51" i="1" l="1"/>
  <c r="G15" i="1" s="1"/>
  <c r="B7" i="1"/>
  <c r="C7" i="1" s="1"/>
  <c r="G30" i="1" s="1"/>
  <c r="G35" i="1" l="1"/>
  <c r="G28" i="3" l="1"/>
  <c r="C18" i="3" l="1"/>
  <c r="C35" i="3" s="1"/>
  <c r="C27" i="1"/>
  <c r="C30" i="1" s="1"/>
  <c r="C14" i="1" s="1"/>
  <c r="G31" i="1" l="1"/>
  <c r="B21" i="1" l="1"/>
  <c r="C43" i="1" l="1"/>
  <c r="G17" i="1" s="1"/>
  <c r="G34" i="1" l="1"/>
  <c r="G29" i="1" l="1"/>
  <c r="C21" i="1" l="1"/>
  <c r="G19" i="1" s="1"/>
  <c r="G27" i="1"/>
  <c r="F21" i="1"/>
  <c r="G28" i="1" l="1"/>
  <c r="G36" i="1" s="1"/>
  <c r="G38" i="1" l="1"/>
  <c r="G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 Hofenk</author>
  </authors>
  <commentList>
    <comment ref="A29" authorId="0" shapeId="0" xr:uid="{1716D198-6241-4510-AAC9-E767F26C5152}">
      <text>
        <r>
          <rPr>
            <b/>
            <sz val="9"/>
            <color indexed="81"/>
            <rFont val="Tahoma"/>
            <family val="2"/>
          </rPr>
          <t>Zie overzicht Bertie 'Overview repayment Ida with sponsor money and loans' stand per 1 januari 2024</t>
        </r>
      </text>
    </comment>
    <comment ref="A49" authorId="0" shapeId="0" xr:uid="{E95AFBC6-A4E7-487C-A9B2-0768584810B9}">
      <text>
        <r>
          <rPr>
            <b/>
            <sz val="9"/>
            <color indexed="81"/>
            <rFont val="Tahoma"/>
            <family val="2"/>
          </rPr>
          <t>Bertie zal dit in 2024 declararen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 Hofenk</author>
  </authors>
  <commentList>
    <comment ref="B76" authorId="0" shapeId="0" xr:uid="{81717529-77B0-41D2-9FEE-6325BE65D044}">
      <text>
        <r>
          <rPr>
            <b/>
            <sz val="9"/>
            <color indexed="81"/>
            <rFont val="Tahoma"/>
            <family val="2"/>
          </rPr>
          <t>geoormerkt ontvangen in 2023, nog uit te geven, boeken als nog te betalen</t>
        </r>
      </text>
    </comment>
    <comment ref="B77" authorId="0" shapeId="0" xr:uid="{6729FAB9-03AC-43D0-8E57-F66C5084E915}">
      <text>
        <r>
          <rPr>
            <b/>
            <sz val="9"/>
            <color indexed="81"/>
            <rFont val="Tahoma"/>
            <family val="2"/>
          </rPr>
          <t>geoormerkt ontvangen in 2023, nog uit te geven, boeken als nog te betalen</t>
        </r>
      </text>
    </comment>
    <comment ref="B78" authorId="0" shapeId="0" xr:uid="{1250D5E4-4AB1-440E-8A28-B449BA92A347}">
      <text>
        <r>
          <rPr>
            <b/>
            <sz val="9"/>
            <color indexed="81"/>
            <rFont val="Tahoma"/>
            <family val="2"/>
          </rPr>
          <t>geoormerkt ontvangen in 2023, nog uit te geven, boeken als nog te betalen</t>
        </r>
      </text>
    </comment>
    <comment ref="B212" authorId="0" shapeId="0" xr:uid="{30BB881B-6FDA-4EA0-BBF1-F5A56592AB20}">
      <text>
        <r>
          <rPr>
            <b/>
            <sz val="9"/>
            <color indexed="81"/>
            <rFont val="Tahoma"/>
            <family val="2"/>
          </rPr>
          <t>1 banktransactie op 1-8-2023 van € 1.900: hiervan 1.330 voor Gambia en 570 voor Kameroen</t>
        </r>
      </text>
    </comment>
    <comment ref="B228" authorId="0" shapeId="0" xr:uid="{DA0D730C-1C8B-481E-B4EC-56564F68DE42}">
      <text>
        <r>
          <rPr>
            <b/>
            <sz val="9"/>
            <color indexed="81"/>
            <rFont val="Tahoma"/>
            <family val="2"/>
          </rPr>
          <t>1 banktransactie op 1-8-2023 van € 1.900: hiervan 1.330 voor Gambia en 570 voor Kameroen</t>
        </r>
      </text>
    </comment>
    <comment ref="B258" authorId="0" shapeId="0" xr:uid="{5D01AA8A-A42D-4736-896D-245A2744E790}">
      <text>
        <r>
          <rPr>
            <b/>
            <sz val="9"/>
            <color indexed="81"/>
            <rFont val="Tahoma"/>
            <family val="2"/>
          </rPr>
          <t>1 banktransactie op 27-1-2023 voor bedrag van € 750</t>
        </r>
      </text>
    </comment>
    <comment ref="B269" authorId="0" shapeId="0" xr:uid="{2E31A59D-3ECC-4479-9DD7-4049E6CDDB8C}">
      <text>
        <r>
          <rPr>
            <b/>
            <sz val="9"/>
            <color indexed="81"/>
            <rFont val="Tahoma"/>
            <family val="2"/>
          </rPr>
          <t>1 banktransactie op 5-1-2023 voor totaal €4.000,-</t>
        </r>
      </text>
    </comment>
    <comment ref="B271" authorId="0" shapeId="0" xr:uid="{72CE140B-6398-42AD-A434-2297F6B6B189}">
      <text>
        <r>
          <rPr>
            <b/>
            <sz val="9"/>
            <color indexed="81"/>
            <rFont val="Tahoma"/>
            <family val="2"/>
          </rPr>
          <t>1 banktransactie op 1-8-2023 voor totaal €3.800,-</t>
        </r>
      </text>
    </comment>
    <comment ref="B272" authorId="0" shapeId="0" xr:uid="{8B69D50B-05FE-4AD2-A606-D465A8B830EF}">
      <text>
        <r>
          <rPr>
            <b/>
            <sz val="9"/>
            <color indexed="81"/>
            <rFont val="Tahoma"/>
            <family val="2"/>
          </rPr>
          <t>1 banktransactie op 29-11-2023 voor totaal €5.000,-</t>
        </r>
      </text>
    </comment>
    <comment ref="B273" authorId="0" shapeId="0" xr:uid="{057005A5-9E89-452F-AD0C-7F77C29F1D24}">
      <text>
        <r>
          <rPr>
            <b/>
            <sz val="9"/>
            <color indexed="81"/>
            <rFont val="Tahoma"/>
            <family val="2"/>
          </rPr>
          <t>1 banktransactie op 27-1-2023 voor bedrag van € 750</t>
        </r>
      </text>
    </comment>
    <comment ref="B287" authorId="0" shapeId="0" xr:uid="{B542599D-1236-4B6E-AB96-E1C94A6627F9}">
      <text>
        <r>
          <rPr>
            <b/>
            <sz val="9"/>
            <color indexed="81"/>
            <rFont val="Tahoma"/>
            <family val="2"/>
          </rPr>
          <t>1 banktransactie op 1-8-2023 voor totaal €3.800,-</t>
        </r>
      </text>
    </comment>
    <comment ref="B288" authorId="0" shapeId="0" xr:uid="{DCBFC1DD-BF06-458E-A485-0B0C9EF7F41A}">
      <text>
        <r>
          <rPr>
            <b/>
            <sz val="9"/>
            <color indexed="81"/>
            <rFont val="Tahoma"/>
            <family val="2"/>
          </rPr>
          <t>1 banktransactie op 27-1-2023 voor bedrag van € 750</t>
        </r>
      </text>
    </comment>
    <comment ref="B289" authorId="0" shapeId="0" xr:uid="{404357D4-9072-4A76-966F-325BC31E893E}">
      <text>
        <r>
          <rPr>
            <b/>
            <sz val="9"/>
            <color indexed="81"/>
            <rFont val="Tahoma"/>
            <family val="2"/>
          </rPr>
          <t>1 banktransactie op 1-8-2023 voor totaal €3.800,-</t>
        </r>
      </text>
    </comment>
    <comment ref="B306" authorId="0" shapeId="0" xr:uid="{06E3D55B-843A-41E4-B4CF-366DBEA47158}">
      <text>
        <r>
          <rPr>
            <b/>
            <sz val="9"/>
            <color indexed="81"/>
            <rFont val="Tahoma"/>
            <family val="2"/>
          </rPr>
          <t>1 banktransactie op 29-11-2023 voor totaal €5.000,-</t>
        </r>
      </text>
    </comment>
    <comment ref="B309" authorId="0" shapeId="0" xr:uid="{E631FD49-243F-4467-B7F5-384A4FBEDF63}">
      <text>
        <r>
          <rPr>
            <b/>
            <sz val="9"/>
            <color indexed="81"/>
            <rFont val="Tahoma"/>
            <family val="2"/>
          </rPr>
          <t>1 banktransactie op 5-1-2023 voor totaal €4.000,-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Hofenk, Adri</author>
    <author>Adri Hofenk</author>
  </authors>
  <commentList>
    <comment ref="A14" authorId="0" shapeId="0" xr:uid="{D93524CE-76FC-4F86-9667-E9A722619B12}">
      <text>
        <r>
          <rPr>
            <b/>
            <sz val="9"/>
            <color indexed="81"/>
            <rFont val="Tahoma"/>
            <family val="2"/>
          </rPr>
          <t>In 2021 is er betaald voor 2021 - 2024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4" authorId="1" shapeId="0" xr:uid="{C380260D-4BB8-4F44-9404-2289CCF4A4C8}">
      <text>
        <r>
          <rPr>
            <b/>
            <sz val="9"/>
            <color indexed="81"/>
            <rFont val="Tahoma"/>
            <family val="2"/>
          </rPr>
          <t>Van Ilse 190,- en van H.C. Rutgers ook 190,-</t>
        </r>
      </text>
    </comment>
    <comment ref="A77" authorId="0" shapeId="0" xr:uid="{ACDE2E73-2721-4545-97B0-5277C75ADC23}">
      <text>
        <r>
          <rPr>
            <b/>
            <sz val="9"/>
            <color indexed="81"/>
            <rFont val="Tahoma"/>
            <family val="2"/>
          </rPr>
          <t>In 2021 betaald 1.000 euro voor 5 jaar schoolgeld, dus 50 euro extra</t>
        </r>
      </text>
    </comment>
    <comment ref="A85" authorId="1" shapeId="0" xr:uid="{600D4F87-1B84-40FD-AD54-C405C6EDB61C}">
      <text>
        <r>
          <rPr>
            <b/>
            <sz val="9"/>
            <color indexed="81"/>
            <rFont val="Tahoma"/>
            <family val="2"/>
          </rPr>
          <t>Samen met Raats sponsoring van 1 kind voor 380 euro</t>
        </r>
      </text>
    </comment>
    <comment ref="A86" authorId="1" shapeId="0" xr:uid="{73026DB0-6080-4F00-88A2-A3C789613D0F}">
      <text>
        <r>
          <rPr>
            <b/>
            <sz val="9"/>
            <color indexed="81"/>
            <rFont val="Tahoma"/>
            <family val="2"/>
          </rPr>
          <t>Samen met Gerritsen sponsoring van 1 kind voor 380 euro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4" authorId="1" shapeId="0" xr:uid="{E62FC9F7-78E8-42D9-8D04-8736F9E56D93}">
      <text>
        <r>
          <rPr>
            <b/>
            <sz val="9"/>
            <color indexed="81"/>
            <rFont val="Tahoma"/>
            <family val="2"/>
          </rPr>
          <t>Stichting Julia éénmalig te besteden aan sponsoring (valutadatum 1-6-2023)</t>
        </r>
      </text>
    </comment>
    <comment ref="K96" authorId="0" shapeId="0" xr:uid="{24A307AB-4448-4335-A0AF-460BB0103158}">
      <text>
        <r>
          <rPr>
            <b/>
            <sz val="9"/>
            <color indexed="81"/>
            <rFont val="Tahoma"/>
            <family val="2"/>
          </rPr>
          <t>Klopt met mutatie Triodos 2023 voor deze donaties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Hofenk, Adri</author>
  </authors>
  <commentList>
    <comment ref="A4" authorId="0" shapeId="0" xr:uid="{E3A27B06-F17B-4A33-9B6A-28A62D07DB06}">
      <text>
        <r>
          <rPr>
            <b/>
            <sz val="9"/>
            <color indexed="81"/>
            <rFont val="Tahoma"/>
            <family val="2"/>
          </rPr>
          <t>In totaal bedrag van 1.900 euro gestort door Frans (valutadatum 1-8-2023)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 xr:uid="{929B39C5-20E8-47DE-8E44-6EB694B53AA7}">
      <text>
        <r>
          <rPr>
            <b/>
            <sz val="9"/>
            <color indexed="81"/>
            <rFont val="Tahoma"/>
            <family val="2"/>
          </rPr>
          <t>In totaal bedrag van 1.900 euro gestort door Frans (valutadatum 1-8-2023)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9A6F0822-D4E5-4501-9B61-AE9F8D1CFB0C}">
      <text>
        <r>
          <rPr>
            <b/>
            <sz val="9"/>
            <color indexed="81"/>
            <rFont val="Tahoma"/>
            <family val="2"/>
          </rPr>
          <t>In 2021 is 350 euro betaald, nog 30 euro tegoed tbv 2021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<sst xmlns="http://schemas.openxmlformats.org/spreadsheetml/2006/main" count="1911" uniqueCount="665">
  <si>
    <t>ACTIVA</t>
  </si>
  <si>
    <t>PASSIVA</t>
  </si>
  <si>
    <t>Herkomst</t>
  </si>
  <si>
    <t>Subtotaal giften/donaties</t>
  </si>
  <si>
    <t>Financiële vaste activa</t>
  </si>
  <si>
    <t>Liquide middelen</t>
  </si>
  <si>
    <t>Eigen vermogen</t>
  </si>
  <si>
    <t>Langlopende verplichtingen</t>
  </si>
  <si>
    <t>Besteding</t>
  </si>
  <si>
    <t>Uitgaande geldstromen</t>
  </si>
  <si>
    <t>Eindsaldo eigen vermogen</t>
  </si>
  <si>
    <t>Inkomende geldstromen</t>
  </si>
  <si>
    <t>Beginsaldo eigen vermogen</t>
  </si>
  <si>
    <t>Lening o/g I.C. Besaris</t>
  </si>
  <si>
    <t>Lening o/g Scymax B.V.</t>
  </si>
  <si>
    <t>Triodos Internet Zaken Rekening</t>
  </si>
  <si>
    <t>Vooruitontvangen bedragen</t>
  </si>
  <si>
    <t>Leningen u/g Bymyra Bilingual school (derden)</t>
  </si>
  <si>
    <t>Mutatie eigen vermogen</t>
  </si>
  <si>
    <t>Lening o/g B.J. Hendriks</t>
  </si>
  <si>
    <t>Subtotaal aflossingen leningen o/g</t>
  </si>
  <si>
    <t>Subtotaal betaalde rente leningen o/g</t>
  </si>
  <si>
    <t>Subtotaal geoormerkte giften/donaties</t>
  </si>
  <si>
    <t>Mutatie passiva (vooruitontvangen bedragen)</t>
  </si>
  <si>
    <t>Nog te ontvangen bedragen</t>
  </si>
  <si>
    <t>Eindsaldo vooruitontvangen bedragen</t>
  </si>
  <si>
    <t>Beginsaldo</t>
  </si>
  <si>
    <t>Eindsaldo nog te ontvangen bedragen</t>
  </si>
  <si>
    <t>Kosten bedrijfsvoering</t>
  </si>
  <si>
    <t>Bankkosten</t>
  </si>
  <si>
    <t>Giften/donaties algemeen</t>
  </si>
  <si>
    <t>Boekdatum</t>
  </si>
  <si>
    <t>Bedrag</t>
  </si>
  <si>
    <t>D/C</t>
  </si>
  <si>
    <t>Naam tegenrekening</t>
  </si>
  <si>
    <t>Tegenrekening</t>
  </si>
  <si>
    <t>Code</t>
  </si>
  <si>
    <t>Omschrijving</t>
  </si>
  <si>
    <t>Credit</t>
  </si>
  <si>
    <t>ET</t>
  </si>
  <si>
    <t>S.M. Kaspers</t>
  </si>
  <si>
    <t>TRIONL2U NL61TRIO0338870768</t>
  </si>
  <si>
    <t>Gift/donatie</t>
  </si>
  <si>
    <t>ASNBNL21 NL48ASNB0707300630</t>
  </si>
  <si>
    <t>kwartaaldonatie</t>
  </si>
  <si>
    <t>INGBNL2A NL04INGB0004091505</t>
  </si>
  <si>
    <t>F.M. Jacobs</t>
  </si>
  <si>
    <t>PO</t>
  </si>
  <si>
    <t>W.M. Hauptmeijer</t>
  </si>
  <si>
    <t>TRIONL2U NL81TRIO0198496567</t>
  </si>
  <si>
    <t>De heer H W de Wolff</t>
  </si>
  <si>
    <t>INGBNL2A NL60INGB0001437741</t>
  </si>
  <si>
    <t>Hr PA Backx</t>
  </si>
  <si>
    <t>INGBNL2A NL10INGB0669452130</t>
  </si>
  <si>
    <t>WOUTER LANGELER</t>
  </si>
  <si>
    <t>ABNANL2A NL51ABNA0516659472</t>
  </si>
  <si>
    <t>INGBNL2A NL17INGB0001572957</t>
  </si>
  <si>
    <t>Hr GM Hendriks</t>
  </si>
  <si>
    <t>INGBNL2A NL73INGB0002662229</t>
  </si>
  <si>
    <t>W.A. Hofenk</t>
  </si>
  <si>
    <t>RABONL2U NL39RABO0332154416</t>
  </si>
  <si>
    <t>Hr AJ Bierings</t>
  </si>
  <si>
    <t>INGBNL2A NL20INGB0006396810</t>
  </si>
  <si>
    <t>W.M. de Hoop Stichting</t>
  </si>
  <si>
    <t>RABONL2U NL40RABO0101032595</t>
  </si>
  <si>
    <t>ABNANL2A NL31ABNA0619465476</t>
  </si>
  <si>
    <t>H B GELS</t>
  </si>
  <si>
    <t>ABNANL2A NL44ABNA0402269535</t>
  </si>
  <si>
    <t>H. Roelofsen</t>
  </si>
  <si>
    <t>SNSBNL2A NL52SNSB0939317346</t>
  </si>
  <si>
    <t>A. Gerritsen</t>
  </si>
  <si>
    <t>TRIONL2U NL67TRIO0784844844</t>
  </si>
  <si>
    <t>B.J.M. Hulshof-Braamhaar</t>
  </si>
  <si>
    <t>RABONL2U NL91RABO0381368564</t>
  </si>
  <si>
    <t>C DRIJVER</t>
  </si>
  <si>
    <t>ABNANL2A NL60ABNA0572282117</t>
  </si>
  <si>
    <t>Mw IEP Zwitserlood</t>
  </si>
  <si>
    <t>INGBNL2A NL60INGB0002771200</t>
  </si>
  <si>
    <t>A. Kleintjens</t>
  </si>
  <si>
    <t>ASNBNL21 NL96ASNB0707619963</t>
  </si>
  <si>
    <t>GELS INTERIM BV</t>
  </si>
  <si>
    <t>ABNANL2A NL98ABNA0566028328</t>
  </si>
  <si>
    <t>EMC SCHILLINGS</t>
  </si>
  <si>
    <t>ABNANL2A NL46ABNA0571452728</t>
  </si>
  <si>
    <t>F POST EN JM POST</t>
  </si>
  <si>
    <t>E.E. Eggink</t>
  </si>
  <si>
    <t>ASNBNL21 NL31ASNB0707140013</t>
  </si>
  <si>
    <t>J.H.H.M. Bakker</t>
  </si>
  <si>
    <t>C.F. Oelmeijer e/o I.C. Besaris</t>
  </si>
  <si>
    <t>RBRBNL21 NL51RBRB0706532953</t>
  </si>
  <si>
    <t>B.D. Lucas eo R.F. Lucas-Zwartjes</t>
  </si>
  <si>
    <t>RABONL2U NL91RABO0113880006</t>
  </si>
  <si>
    <t>Hr M Welling, Mw MPT Donkers</t>
  </si>
  <si>
    <t>INGBNL2A NL26INGB0001127953</t>
  </si>
  <si>
    <t>Sponsoring Bymyra</t>
  </si>
  <si>
    <t>Mw M F L L Geelen en/of Hr H L M van Middelaar</t>
  </si>
  <si>
    <t>INGBNL2A NL28INGB0004382849</t>
  </si>
  <si>
    <t>Sponsorkind Gambia</t>
  </si>
  <si>
    <t>J.S. Scheltes e/o R. Leopold</t>
  </si>
  <si>
    <t>ASNBNL21 NL45ASNB0706874854</t>
  </si>
  <si>
    <t>sponsorship leerling van de Bymyra Bilingual School Gambia</t>
  </si>
  <si>
    <t>E.E. Eggink e/o M.V. de Vlugt</t>
  </si>
  <si>
    <t>ASNBNL21 NL88ASNB0707517869</t>
  </si>
  <si>
    <t>5jr sponsoring Bymyra bilingual school Gambia</t>
  </si>
  <si>
    <t>Mw A M C Vesseur</t>
  </si>
  <si>
    <t>INGBNL2A NL38INGB0001152375</t>
  </si>
  <si>
    <t>E PONZETTI</t>
  </si>
  <si>
    <t>ABNANL2A NL50ABNA0614501547</t>
  </si>
  <si>
    <t>H. Croon eo M. Nieuwland</t>
  </si>
  <si>
    <t>RABONL2U NL18RABO0121687783</t>
  </si>
  <si>
    <t>Bijdrage schoolgeld Bymyra Bilingual School in Gambia</t>
  </si>
  <si>
    <t>Mw J A W van T Westeinde</t>
  </si>
  <si>
    <t>INGBNL2A NL40INGB0000177101</t>
  </si>
  <si>
    <t>Sponsorship Gambia</t>
  </si>
  <si>
    <t>Hr W P M Kaizer e/o Mw E J S van Aalst</t>
  </si>
  <si>
    <t>sponsorship Gambia jaarlijkse bijdrage</t>
  </si>
  <si>
    <t>Sponsor kind Gambia</t>
  </si>
  <si>
    <t>RABONL2U NL24RABO0144607611</t>
  </si>
  <si>
    <t>Sponsoring kind Gambia</t>
  </si>
  <si>
    <t>schoolgeld Gambia</t>
  </si>
  <si>
    <t>sponsorkind 2 jaarlijks tm aug 2024</t>
  </si>
  <si>
    <t>Philip Backx Consultancy</t>
  </si>
  <si>
    <t>INGBNL2A NL72INGB0007449197</t>
  </si>
  <si>
    <t>Sponsoring twee kinderen Gambia</t>
  </si>
  <si>
    <t>P.E.A. Bootz</t>
  </si>
  <si>
    <t>RABONL2U NL93RABO0131895877</t>
  </si>
  <si>
    <t>A.J.B. Wopereis eo A.G. Wopereis-Br</t>
  </si>
  <si>
    <t>G.J.A. Wijgman en/of W.M Wijgman-Ti</t>
  </si>
  <si>
    <t>RABONL2U NL27RABO0322337747</t>
  </si>
  <si>
    <t>Mw O de Bruijn</t>
  </si>
  <si>
    <t>INGBNL2A NL80INGB0002054107</t>
  </si>
  <si>
    <t>sponsorship Gambia</t>
  </si>
  <si>
    <t>I M VD JAGT</t>
  </si>
  <si>
    <t>ABNANL2A NL54ABNA0508635772</t>
  </si>
  <si>
    <t>J.F.C. Bos eo J.J.M. Willems</t>
  </si>
  <si>
    <t>RABONL2U NL82RABO0118792830</t>
  </si>
  <si>
    <t>Briljan</t>
  </si>
  <si>
    <t>Hr J G J M Vaes</t>
  </si>
  <si>
    <t>INGBNL2A NL53INGB0005821879</t>
  </si>
  <si>
    <t>Deelname 2020</t>
  </si>
  <si>
    <t>INGBNL2A NL30INGB0002032697</t>
  </si>
  <si>
    <t>J.J.A. Tirion eo</t>
  </si>
  <si>
    <t>RABONL2U NL70RABO0155009451</t>
  </si>
  <si>
    <t>Gift voor Bymyra Bilingual School</t>
  </si>
  <si>
    <t>B.M. Janssen</t>
  </si>
  <si>
    <t>ASNBNL21 NL64ASNB0707455154</t>
  </si>
  <si>
    <t>Sponsoring schoolkinderen Kameroen</t>
  </si>
  <si>
    <t>Mw drs ER Spendel</t>
  </si>
  <si>
    <t>INGBNL2A NL08INGB0001927460</t>
  </si>
  <si>
    <t>J.J. de Kroon</t>
  </si>
  <si>
    <t>RABONL2U NL79RABO0302431926</t>
  </si>
  <si>
    <t>HTM TEN BERG</t>
  </si>
  <si>
    <t>ABNANL2A NL76ABNA0610814982</t>
  </si>
  <si>
    <t>Credit totaal</t>
  </si>
  <si>
    <t>Debet</t>
  </si>
  <si>
    <t>G.M.Hendriks</t>
  </si>
  <si>
    <t>KN</t>
  </si>
  <si>
    <t>Haicu Webdesign</t>
  </si>
  <si>
    <t>TRIONL2U NL92TRIO0254568092</t>
  </si>
  <si>
    <t>Greenhost</t>
  </si>
  <si>
    <t>TRIONL2U NL08TRIO0781503868</t>
  </si>
  <si>
    <t>RABONL2U NL29RABO0119555719</t>
  </si>
  <si>
    <t>Projectkosten</t>
  </si>
  <si>
    <t>Debet totaal</t>
  </si>
  <si>
    <t>Subtotaal sponsoring Bymyra school Gambia</t>
  </si>
  <si>
    <t>Periodieke sponsoring Bymyra</t>
  </si>
  <si>
    <t>Subtotaal leningen o/g</t>
  </si>
  <si>
    <t>Lening u/g tailorshop Effie</t>
  </si>
  <si>
    <t>Lening u/g project champignons de Foumbot</t>
  </si>
  <si>
    <t>Lening u/g Tunbung Village</t>
  </si>
  <si>
    <t>Naam</t>
  </si>
  <si>
    <t>Datum start</t>
  </si>
  <si>
    <t>Looptijd</t>
  </si>
  <si>
    <t>Opmerkingen</t>
  </si>
  <si>
    <t>Frans Jacobs</t>
  </si>
  <si>
    <t xml:space="preserve"> 01-09-2021</t>
  </si>
  <si>
    <t>5 jaar</t>
  </si>
  <si>
    <t>Kameroen Werkt (sponsor nog in te vullen)</t>
  </si>
  <si>
    <t>Bettie (B.M.) Janssen</t>
  </si>
  <si>
    <t>Kameroen Werkt (donaties twins)</t>
  </si>
  <si>
    <t>Nog te betalen bedragen</t>
  </si>
  <si>
    <t>OVERZICHT SPONSOREN BYMYRA BILINGUAL SCHOOL</t>
  </si>
  <si>
    <t>Kameroen Werkt / Bertie</t>
  </si>
  <si>
    <t xml:space="preserve"> 01-01-2017</t>
  </si>
  <si>
    <t>Geld in totaal vooraf ontvangen</t>
  </si>
  <si>
    <t>Kameroen Werkt / De Hoop stichting</t>
  </si>
  <si>
    <t xml:space="preserve"> 01-09-2019</t>
  </si>
  <si>
    <t>Annemiek Luken - Pauw</t>
  </si>
  <si>
    <t xml:space="preserve"> 01-09-2020</t>
  </si>
  <si>
    <t>Max Welling / Marga Donkers</t>
  </si>
  <si>
    <t>Marcel Bierings</t>
  </si>
  <si>
    <t>Adri Hofenk</t>
  </si>
  <si>
    <t>Wim Kaizer</t>
  </si>
  <si>
    <t>Mirjam / KW / Rajahmundry</t>
  </si>
  <si>
    <t>Jobine van ‘t Westeinde</t>
  </si>
  <si>
    <t>Roos Leopold / Julien Scheltes</t>
  </si>
  <si>
    <t>Wouter Langerer</t>
  </si>
  <si>
    <t>Sjaak Vaes</t>
  </si>
  <si>
    <t>Jan Schepers (BrilJan)</t>
  </si>
  <si>
    <t>Marlet Hesselink</t>
  </si>
  <si>
    <t>Henk Croon</t>
  </si>
  <si>
    <t>Inge Zwitserlood / Ruud Bakhuizen</t>
  </si>
  <si>
    <t>Annemieke Vesseur</t>
  </si>
  <si>
    <t>Mirjam Tirion</t>
  </si>
  <si>
    <t>Frederieke / Elena Ponzetti / Jesse</t>
  </si>
  <si>
    <t>Bertie / Maria Hendriks</t>
  </si>
  <si>
    <t>Frans Jacobs / KW</t>
  </si>
  <si>
    <t>Inge Besaris</t>
  </si>
  <si>
    <t>Max Welling / Marga Donkers / KW</t>
  </si>
  <si>
    <t>Max Welling / Marga D. / Herman Gels / KW</t>
  </si>
  <si>
    <t>Tom van der Linde</t>
  </si>
  <si>
    <t>Paul Kelder</t>
  </si>
  <si>
    <t>Hans /Arianne Wopereis</t>
  </si>
  <si>
    <t>Marion Ligthart Schenk (Teegelbeckers)</t>
  </si>
  <si>
    <t>Janneke Bakker</t>
  </si>
  <si>
    <t>Reyke Zwartjes (Lucas)</t>
  </si>
  <si>
    <t>Stella (S.M.) Kaspers</t>
  </si>
  <si>
    <t>Henri en Maria Middelaar</t>
  </si>
  <si>
    <t>Douwe en Tjallie de Boer</t>
  </si>
  <si>
    <t>Philip Backx</t>
  </si>
  <si>
    <t>Peter Bootz</t>
  </si>
  <si>
    <t>Wietske Wijgman</t>
  </si>
  <si>
    <t>Floris Buter</t>
  </si>
  <si>
    <t>Ilse van der Jagt</t>
  </si>
  <si>
    <t xml:space="preserve"> 01-01-2022</t>
  </si>
  <si>
    <t>Odile de Bruin</t>
  </si>
  <si>
    <t>M. en A. Ouwehand (Monaire B.V.)</t>
  </si>
  <si>
    <t>Vooruit ontvangen bedragen</t>
  </si>
  <si>
    <t>Extra ontvangsten geoormerkt voor Bymyra</t>
  </si>
  <si>
    <t>Correctie vooruitontvangen bedragen</t>
  </si>
  <si>
    <t>Nog te onvangen sponsorgeld</t>
  </si>
  <si>
    <t>Vooruit ontvangen sponsorgeld</t>
  </si>
  <si>
    <t>Afboeking vooruitontvangen bedragen</t>
  </si>
  <si>
    <t>Vooruitontvangen sponsoring schoolkinderen Kameroen</t>
  </si>
  <si>
    <t>Vooruitontvangen sponsoring Bymyra school</t>
  </si>
  <si>
    <t>Mutatie activa (leningen u/g)</t>
  </si>
  <si>
    <t>Mutatie passiva (nog te betalen bedragen)</t>
  </si>
  <si>
    <t>Lening o/g Gels interim B.V.</t>
  </si>
  <si>
    <t>Lening u/g Bymyra Bilingual vocational education</t>
  </si>
  <si>
    <t>Vooruitbetaalde bedragen</t>
  </si>
  <si>
    <t>Categorie</t>
  </si>
  <si>
    <t>RABONL2U NL79RABO0136955843</t>
  </si>
  <si>
    <t>Extra bijdrage voor Oumie en Jarra (of wie het nodig heeft)</t>
  </si>
  <si>
    <t>UK ONLINE GIVING FOUNDATION</t>
  </si>
  <si>
    <t>BOFAGB22 GB62BOFA16505020416485</t>
  </si>
  <si>
    <t>A.G. van der Linde e/o P. Arends</t>
  </si>
  <si>
    <t>ASNBNL21 NL29ASNB8830727962</t>
  </si>
  <si>
    <t>Stichting Do &amp; Well</t>
  </si>
  <si>
    <t>RABONL2U NL04RABO0376089741</t>
  </si>
  <si>
    <t>S VAN LIESHOUT</t>
  </si>
  <si>
    <t>ABNANL2A NL52ABNA0492939268</t>
  </si>
  <si>
    <t>Rijst</t>
  </si>
  <si>
    <t>Mw EM Beekwilder</t>
  </si>
  <si>
    <t>INGBNL2A NL15INGB0006173412</t>
  </si>
  <si>
    <t>TRIONL2U NL15TRIO0320322092</t>
  </si>
  <si>
    <t>P.J.A. Husken eo N.G. Thien</t>
  </si>
  <si>
    <t>RABONL2U NL25RABO0132427109</t>
  </si>
  <si>
    <t>Mw M L M Ouwehand-van Rijn</t>
  </si>
  <si>
    <t>INGBNL2A NL28INGB0004500122</t>
  </si>
  <si>
    <t>INGBNL2A NL32INGB0004254252</t>
  </si>
  <si>
    <t>Mevr J M A Collard</t>
  </si>
  <si>
    <t>INGBNL2A NL57INGB0001792718</t>
  </si>
  <si>
    <t>M.J. Mentink</t>
  </si>
  <si>
    <t>RABONL2U NL66RABO0308235282</t>
  </si>
  <si>
    <t>CJI RAATS CJ</t>
  </si>
  <si>
    <t>ABNANL2A NL86ABNA0598849270</t>
  </si>
  <si>
    <t>S.F. Karman</t>
  </si>
  <si>
    <t>B.M.M. Wind</t>
  </si>
  <si>
    <t>TRIONL2U NL95TRIO0254640788</t>
  </si>
  <si>
    <t>Mw W Pelgrim</t>
  </si>
  <si>
    <t>INGBNL2A NL35INGB0006765819</t>
  </si>
  <si>
    <t>De heer H Verburg jr</t>
  </si>
  <si>
    <t>INGBNL2A NL53INGB0001184115</t>
  </si>
  <si>
    <t>T. Dijkstra e/o A.C.M. Dijkzeul</t>
  </si>
  <si>
    <t>ASNBNL21 NL39ASNB0707628555</t>
  </si>
  <si>
    <t>H. Bressers en/of H.M.J.</t>
  </si>
  <si>
    <t>TRIONL2U NL42TRIO0338856269</t>
  </si>
  <si>
    <t>J.C.M. Farla</t>
  </si>
  <si>
    <t>ASNBNL21 NL68ASNB0706950488</t>
  </si>
  <si>
    <t>R S A TEEUWEN</t>
  </si>
  <si>
    <t>ABNANL2A NL52ABNA0490358195</t>
  </si>
  <si>
    <t>P H J M SCHOUTEN CJ</t>
  </si>
  <si>
    <t>ABNANL2A NL95ABNA0469112093</t>
  </si>
  <si>
    <t>F. van den Bergh</t>
  </si>
  <si>
    <t>TRIONL2U NL30TRIO0198425511</t>
  </si>
  <si>
    <t>Y.A. Jacobs e/o F.G.B. Wouters</t>
  </si>
  <si>
    <t>ASNBNL21 NL69ASNB0708650880</t>
  </si>
  <si>
    <t>ESTHER VAN BLOOIS</t>
  </si>
  <si>
    <t>ARSPBE22 BE30973165208111</t>
  </si>
  <si>
    <t>H.C. Beerda eo D.H.J. Sio</t>
  </si>
  <si>
    <t>RABONL2U NL51RABO0316877573</t>
  </si>
  <si>
    <t>M.G. Brinkhof en/of H. K</t>
  </si>
  <si>
    <t>TRIONL2U NL21TRIO0320084043</t>
  </si>
  <si>
    <t>R.L.E. van Nifterick</t>
  </si>
  <si>
    <t>RABONL2U NL69RABO0142868949</t>
  </si>
  <si>
    <t>Hofstede - Folkersma</t>
  </si>
  <si>
    <t>GKCCBEBB BE20063877881256</t>
  </si>
  <si>
    <t>H.C.M.M. Geerts-Nolet</t>
  </si>
  <si>
    <t>ASNBNL21 NL08ASNB0709092067</t>
  </si>
  <si>
    <t>Hr OD de Loor</t>
  </si>
  <si>
    <t>INGBNL2A NL91INGB0003788075</t>
  </si>
  <si>
    <t>De heer H K W Bekkers</t>
  </si>
  <si>
    <t>INGBNL2A NL86INGB0001469962</t>
  </si>
  <si>
    <t>Rijst Gambia</t>
  </si>
  <si>
    <t>Gift/donatie (vocational education)</t>
  </si>
  <si>
    <t>Hr W A Goedhart</t>
  </si>
  <si>
    <t>INGBNL2A NL33INGB0005666069</t>
  </si>
  <si>
    <t>Scymax B.V.</t>
  </si>
  <si>
    <t>Sponsorship Gambia 3e kind</t>
  </si>
  <si>
    <t>Jaarlijkse storting Cardi Bos en Judith Willems sponsorship Gambia</t>
  </si>
  <si>
    <t>Sponsorship Gambia wijgman</t>
  </si>
  <si>
    <t>KNABNL2H NL57KNAB0412177099</t>
  </si>
  <si>
    <t>Mw MA Ligthart Schenk,Hr JT Teegelb</t>
  </si>
  <si>
    <t>Sonsorship</t>
  </si>
  <si>
    <t>Mw LPM Arends-van Uffelen, Hr B Arends</t>
  </si>
  <si>
    <t>INGBNL2A NL77INGB0002961790</t>
  </si>
  <si>
    <t>jaarlijkse donatie</t>
  </si>
  <si>
    <t>sponsoring kind</t>
  </si>
  <si>
    <t>Sponsoring Tida Fatty</t>
  </si>
  <si>
    <t>H.C. Rutgers</t>
  </si>
  <si>
    <t>ASNBNL21 NL05ASNB0708468217</t>
  </si>
  <si>
    <t>Periodieke gift</t>
  </si>
  <si>
    <t>KAREN LUCAS</t>
  </si>
  <si>
    <t>ARSPBE22 BE34979785902590</t>
  </si>
  <si>
    <t>Sponsoring Bymyra (Kameroen)</t>
  </si>
  <si>
    <t>BJ Hendriks</t>
  </si>
  <si>
    <t>INGBNL2A NL89INGB0758409796</t>
  </si>
  <si>
    <t>Aflossing lening o/g en rente (B.J. Hendriks)</t>
  </si>
  <si>
    <t>Donatie</t>
  </si>
  <si>
    <t>GM Hendriks</t>
  </si>
  <si>
    <t>ASNBNL21 NL17ASNB8832439840</t>
  </si>
  <si>
    <t>Donatie (vocational education)</t>
  </si>
  <si>
    <t>Stichting Container Hulpgoederen na</t>
  </si>
  <si>
    <t>Esther Eggink / Maarten de Vlugt</t>
  </si>
  <si>
    <t>Karen Lucas</t>
  </si>
  <si>
    <t>Henk Verburgt</t>
  </si>
  <si>
    <t>Herman Gels</t>
  </si>
  <si>
    <t>Arends (Bert en Loes)</t>
  </si>
  <si>
    <t>OVERZICHT SPONSOREN KAMEROEN FOMBOUT</t>
  </si>
  <si>
    <t>Nog te betalen 2023 - 2025</t>
  </si>
  <si>
    <t>Nog te betalen 2021</t>
  </si>
  <si>
    <t>Aflossing lening u/g Tunbung Village</t>
  </si>
  <si>
    <t>Rente lening o/g B.J. Hendriks</t>
  </si>
  <si>
    <t>Aflossing lening o/g B.J. Hendriks</t>
  </si>
  <si>
    <t>Subtotaal leningen u/g</t>
  </si>
  <si>
    <t>Eindsaldo nog te betalen bedragen</t>
  </si>
  <si>
    <t>OPMERKINGEN BIJ DE BALANS</t>
  </si>
  <si>
    <t>Mutatie activa (vooruitbetaalde bedragen)</t>
  </si>
  <si>
    <t>Mutatie passiva (leningen o/g)</t>
  </si>
  <si>
    <t>01-01-2023</t>
  </si>
  <si>
    <t>31-12-2023</t>
  </si>
  <si>
    <t>BALANS PER 31-12-2023 STICHTING KAMEROEN WERKT!</t>
  </si>
  <si>
    <t>Lening u/g taxi Musa Taal</t>
  </si>
  <si>
    <t>Lening o/g (taxi Musa Taal)</t>
  </si>
  <si>
    <t>Lening o/g De Bruijn (taxi Musa Taal)</t>
  </si>
  <si>
    <t>Lening o/g Bos eo Willems (taxi Musa Taal)</t>
  </si>
  <si>
    <t>Lening o/g (huis Effie)</t>
  </si>
  <si>
    <t>Donaties project Rijst voor Kerst</t>
  </si>
  <si>
    <t>Lening o/g B.M. Janssen (huis Effie)</t>
  </si>
  <si>
    <t>Lening u/g huis Effie</t>
  </si>
  <si>
    <t>Correctie/verrekening/vrijval in 2023</t>
  </si>
  <si>
    <t>Donaties experts/teachers vocational education</t>
  </si>
  <si>
    <t>Saldo vooruitbetaalde bedragen Bymyra (per 31-12-2023)</t>
  </si>
  <si>
    <t>Eindsaldo vooruitbetaalde bedragen</t>
  </si>
  <si>
    <t>TOELICHTING BIJ DE BALANS 2023</t>
  </si>
  <si>
    <t>E.M. Beekwilder</t>
  </si>
  <si>
    <t>C.J.I. Raats</t>
  </si>
  <si>
    <t>Via bank te ontvangen betreffende 2023</t>
  </si>
  <si>
    <t>Via bank ontvangen in 2023 voor komende jaren</t>
  </si>
  <si>
    <t>Nog te ontvangen bedragen over 2023</t>
  </si>
  <si>
    <t>Totaal in 2023 via bank ontvangen</t>
  </si>
  <si>
    <t>Reeds vooruit ontvangen sponsoring voor 2023</t>
  </si>
  <si>
    <t>Totale verplichting sponsoring Bymyra 2023</t>
  </si>
  <si>
    <t xml:space="preserve"> 01-09-2023</t>
  </si>
  <si>
    <t>Toelichting 2023</t>
  </si>
  <si>
    <t>dus correctie van € 2.000,- in 2023 als afboeking van lening</t>
  </si>
  <si>
    <t>Lening Tunbung Village vanuit Kameroen Werkt bedroeg € 7.300 in plaats van € 9.300,</t>
  </si>
  <si>
    <t>Voorschot door Bertie als donatie aan Bymyra (Ida)</t>
  </si>
  <si>
    <t>Eerste terugbetaling van project Champignons van Foumbot</t>
  </si>
  <si>
    <t>Aflossing lening u/g (champignons Foumbot)</t>
  </si>
  <si>
    <t>1e terugbetaling Effie 1000 euro cash gegeven aan Bertie Hendriks</t>
  </si>
  <si>
    <t>Aflossing lening u/g (Effie)</t>
  </si>
  <si>
    <t>Terugbetaling loan tunbung Fatou Saho</t>
  </si>
  <si>
    <t>Aflossing lening Tunbung door verblijf 1100 en water 50 euro</t>
  </si>
  <si>
    <t>Aflossing lening Tunbung door verblijf 660 water 30 euro groep Katen</t>
  </si>
  <si>
    <t>extra overnachtingen Tujereng</t>
  </si>
  <si>
    <t>ARSPBE22 BE76973070719195</t>
  </si>
  <si>
    <t>verblijfkosten</t>
  </si>
  <si>
    <t>Hr JL Tacken</t>
  </si>
  <si>
    <t>INGBNL2A NL64INGB0005278966</t>
  </si>
  <si>
    <t>Terugbetaling lening Yafatou Tunbung Village John/Odile</t>
  </si>
  <si>
    <t>Y.A. Jacobs</t>
  </si>
  <si>
    <t>ASNBNL21 NL50ASNB0708650155</t>
  </si>
  <si>
    <t>Terugbetaling lening Yafafou TV verblijfskosten februari</t>
  </si>
  <si>
    <t>Aflossing lening Tunbung Yafatou</t>
  </si>
  <si>
    <t>H.N.P. de Kok e/o K.M.C. van Wezel</t>
  </si>
  <si>
    <t>RBRBNL21 NL16RBRB0668060085</t>
  </si>
  <si>
    <t>Terugbetaling lening Yafatou</t>
  </si>
  <si>
    <t>afbetaling yafatoe (water)</t>
  </si>
  <si>
    <t>De heer H.D. Sneep e/o mevrouw K.K.</t>
  </si>
  <si>
    <t>FVLBNL22 NL02FVLB0227002679</t>
  </si>
  <si>
    <t>terugbetaling lening Yafatou Tunbung Village</t>
  </si>
  <si>
    <t>Hr HN Hoefnagel</t>
  </si>
  <si>
    <t>INGBNL2A NL50INGB0004133163</t>
  </si>
  <si>
    <t>Terugbetaling lening Yafatou TunbungVillage.</t>
  </si>
  <si>
    <t>Mw SH van Woudenberg</t>
  </si>
  <si>
    <t>INGBNL2A NL29INGB0003509055</t>
  </si>
  <si>
    <t>INGBNL2A NL25INGB0007882469</t>
  </si>
  <si>
    <t>Lening</t>
  </si>
  <si>
    <t>Doorgeefluik</t>
  </si>
  <si>
    <t>Overschrijven eigen rekening</t>
  </si>
  <si>
    <t>Te corrigeren</t>
  </si>
  <si>
    <t>Restant geld van Gabbi M en Sjaak V voor project Musa Taal</t>
  </si>
  <si>
    <t>De heer R H Jansen</t>
  </si>
  <si>
    <t>INGBNL2A NL65INGB0003259796</t>
  </si>
  <si>
    <t>deelname Kring Kameroen Werkt</t>
  </si>
  <si>
    <t>Hr PJA Husken, Mw NG Thien</t>
  </si>
  <si>
    <t>INGBNL2A NL17INGB0005999358</t>
  </si>
  <si>
    <t>UK Online Giving Foundation</t>
  </si>
  <si>
    <t>HBUKGB4B GB56HBUK40127676720968</t>
  </si>
  <si>
    <t>ADTX3T9KBH</t>
  </si>
  <si>
    <t>FEMI TO EARTH MANKIND TH</t>
  </si>
  <si>
    <t>120723</t>
  </si>
  <si>
    <t>Bijdrage 2023</t>
  </si>
  <si>
    <t>voor het overbruggingsproject.</t>
  </si>
  <si>
    <t>Donatie Gambia,  groet Ted</t>
  </si>
  <si>
    <t>UK ONLINE GIVING FOUNDATION DONATION DISBURSEMENT ID: ATM8BBVBMH [OTHR]</t>
  </si>
  <si>
    <t>HJW Modijefsky</t>
  </si>
  <si>
    <t>Voor supporting van kinderen</t>
  </si>
  <si>
    <t>UK ONLINE GIVING FOUNDATION DONATION DISBURSEMENT ID: B4DC8E13S3 [OTHR]</t>
  </si>
  <si>
    <t>UK ONLINE GIVING FOUNDATION DONATION DISBURSEMENT ID: B7QHS8WM5R [OTHR]</t>
  </si>
  <si>
    <t>Voor prachtig project, extra donatie lieve groet, monique</t>
  </si>
  <si>
    <t>donatie</t>
  </si>
  <si>
    <t>Mw MM Oosting</t>
  </si>
  <si>
    <t>INGBNL2A NL22INGB0686238540</t>
  </si>
  <si>
    <t>Beekwilder Holding B.V.</t>
  </si>
  <si>
    <t>RABONL2U NL06RABO0145349209</t>
  </si>
  <si>
    <t>Donatie 2023 van Beekwilder familiegroep - met waardering voor jullie werk.</t>
  </si>
  <si>
    <t>Mw C M de Poorter</t>
  </si>
  <si>
    <t>INGBNL2A NL68INGB0006287791</t>
  </si>
  <si>
    <t>Gift/donatie (Bymyra sportdag)</t>
  </si>
  <si>
    <t>A.R. Soesman</t>
  </si>
  <si>
    <t>RABONL2U NL06RABO0360270654</t>
  </si>
  <si>
    <t>Excursie Fort James</t>
  </si>
  <si>
    <t>Gift/donatie (excursie Bymyra school)</t>
  </si>
  <si>
    <t>Excursie fort James</t>
  </si>
  <si>
    <t>ASNBNL21 NL40ASNB8832472503</t>
  </si>
  <si>
    <t>NATIONWIDE BUILDING SOCIETY</t>
  </si>
  <si>
    <t>MIDLGB22 GB06MIDL40051571693932</t>
  </si>
  <si>
    <t>FOR DUTCH METAL PROCESSING TEACHER</t>
  </si>
  <si>
    <t>Gift/donatie (experts/teachers vocational education)</t>
  </si>
  <si>
    <t>Nog te betalen</t>
  </si>
  <si>
    <t>project 23-122</t>
  </si>
  <si>
    <t>Inzetten experts vocational</t>
  </si>
  <si>
    <t>Steun Effie en broer</t>
  </si>
  <si>
    <t>Gift/donatie (huis Effie)</t>
  </si>
  <si>
    <t>W.H. van den Nagel</t>
  </si>
  <si>
    <t>TRIONL2U NL59TRIO0320136515</t>
  </si>
  <si>
    <t>Gift voor Effie</t>
  </si>
  <si>
    <t>Mw MJV Hendriks-Jacobs</t>
  </si>
  <si>
    <t>INGBNL2A NL68INGB0005663208</t>
  </si>
  <si>
    <t>Actie Effie</t>
  </si>
  <si>
    <t>Voor project steun Effie</t>
  </si>
  <si>
    <t>steun effie en haar broer</t>
  </si>
  <si>
    <t>Effie en broer</t>
  </si>
  <si>
    <t>T.N. Henneken</t>
  </si>
  <si>
    <t>RABONL2U NL11RABO0151785554</t>
  </si>
  <si>
    <t>Project Effie</t>
  </si>
  <si>
    <t>Mw M F L L Geelen en/ofHr H L M van</t>
  </si>
  <si>
    <t>Ondersteuning Effie</t>
  </si>
  <si>
    <t>Donatie - voor Effie. Groet Ted</t>
  </si>
  <si>
    <t>Schenking Effie</t>
  </si>
  <si>
    <t>Project afbouw huis Effie</t>
  </si>
  <si>
    <t>Voor de minibus Bymyra van Milieucafé Tilburg</t>
  </si>
  <si>
    <t>Gift/donatie (minibus Bymyra)</t>
  </si>
  <si>
    <t>zitplaats minibus</t>
  </si>
  <si>
    <t>Zak rijst Gambia, gezegende kerst</t>
  </si>
  <si>
    <t>Gift/donatie (rijst voor Kerst)</t>
  </si>
  <si>
    <t>ZAK RIJST GAMBIA</t>
  </si>
  <si>
    <t>Kerstkus</t>
  </si>
  <si>
    <t>Zak rijst Gambia</t>
  </si>
  <si>
    <t>Gambia zak rijst. Succes</t>
  </si>
  <si>
    <t>Hr W P M Kaizer e/oMw E J S van Aal</t>
  </si>
  <si>
    <t>Zak rijst voor Kerst, groet</t>
  </si>
  <si>
    <t>M.H.J. Hehemann</t>
  </si>
  <si>
    <t>RABONL2U NL06RABO0151404143</t>
  </si>
  <si>
    <t>Mw D L Bretveld</t>
  </si>
  <si>
    <t>INGBNL2A NL26INGB0006370512</t>
  </si>
  <si>
    <t>Zak rijst Gambia Bymyra School. Fijne Kerst Bertie.</t>
  </si>
  <si>
    <t>Mw LPM Arends-van Uffelen, Hr B Are</t>
  </si>
  <si>
    <t>zak rijst Gambia</t>
  </si>
  <si>
    <t>Zak Rijst Gambia</t>
  </si>
  <si>
    <t>SH EVERS</t>
  </si>
  <si>
    <t>ABNANL2A NL74ABNA0411948431</t>
  </si>
  <si>
    <t>zak rijst voor kerst</t>
  </si>
  <si>
    <t>ABNANL2A NL03ABNA0591145278</t>
  </si>
  <si>
    <t>Voor rijst</t>
  </si>
  <si>
    <t>M. Hart en/of P. Schuil</t>
  </si>
  <si>
    <t>TRIONL2U NL36TRIO0320671011</t>
  </si>
  <si>
    <t>Fijne Kerst.</t>
  </si>
  <si>
    <t>Mw A Heilema</t>
  </si>
  <si>
    <t>INGBNL2A NL37INGB0005006203</t>
  </si>
  <si>
    <t>Zak rijst</t>
  </si>
  <si>
    <t>C. Rietveld</t>
  </si>
  <si>
    <t>RABONL2U NL90RABO0171792904</t>
  </si>
  <si>
    <t>K.M. Passier</t>
  </si>
  <si>
    <t>RABONL2U NL12RABO0155453688</t>
  </si>
  <si>
    <t>Mw IK Teeuwen</t>
  </si>
  <si>
    <t>INGBNL2A NL57INGB0004073770</t>
  </si>
  <si>
    <t>Zak rijst gambia</t>
  </si>
  <si>
    <t>Hr C Verzijl</t>
  </si>
  <si>
    <t>INGBNL2A NL48INGB0002290393</t>
  </si>
  <si>
    <t>Kameroen werkt  Zak rijst Gambia.   2 x halve zak rijst voor ouder</t>
  </si>
  <si>
    <t>Hr HN Hoefnagel,Mw SH van Woudenber</t>
  </si>
  <si>
    <t>INGBNL2A NL70INGB0006709123</t>
  </si>
  <si>
    <t>EB TER HOEVEN</t>
  </si>
  <si>
    <t>ABNANL2A NL27ABNA0529220628</t>
  </si>
  <si>
    <t>N. Helbo-Verbeek e/o J. Helbo</t>
  </si>
  <si>
    <t>SNSBNL2A NL58SNSB0857737813</t>
  </si>
  <si>
    <t>Beetje laat .. zak rijst voor Gambia xx</t>
  </si>
  <si>
    <t>G.E.M. Mesters</t>
  </si>
  <si>
    <t>RABONL2U NL08RABO0138948143</t>
  </si>
  <si>
    <t>Kerst rijst Gambia</t>
  </si>
  <si>
    <t>rijst</t>
  </si>
  <si>
    <t>RABONL2U NL31RABO0106939572</t>
  </si>
  <si>
    <t>Zonne-energie Gambia</t>
  </si>
  <si>
    <t>Donatie Gambia Vocational / Dak kas</t>
  </si>
  <si>
    <t>Een heel klein druppeltje voor leningen beroepso</t>
  </si>
  <si>
    <t>BORIS KRUISDIJK</t>
  </si>
  <si>
    <t>ABNANL2A NL69ABNA0479388741</t>
  </si>
  <si>
    <t>k. van Baar</t>
  </si>
  <si>
    <t>BUNQNL2A NL87BUNQ2078857297</t>
  </si>
  <si>
    <t>Donatie van Kurt en Sander voor bymyra vocational school. We hebben meegewerkt met het bouwen van het technische lokaal in maart 2023.</t>
  </si>
  <si>
    <t>S. Verschueren</t>
  </si>
  <si>
    <t>RABONL2U NL23RABO0315528419</t>
  </si>
  <si>
    <t>Donatie voor de Bymyra school namens ROC Tilburg</t>
  </si>
  <si>
    <t>Voor project beroepsonderwijs</t>
  </si>
  <si>
    <t>Lunch programma school Gambia</t>
  </si>
  <si>
    <t>Gift/donatie (voedselprogramma 1)</t>
  </si>
  <si>
    <t>9BY5H5VMSP</t>
  </si>
  <si>
    <t>Gift/donatie (voedselprogramma 3)</t>
  </si>
  <si>
    <t>9PEF1NLY2B</t>
  </si>
  <si>
    <t>Donatie deel 2</t>
  </si>
  <si>
    <t>AFXEVPWBUT</t>
  </si>
  <si>
    <t>project taxi Musa</t>
  </si>
  <si>
    <t>Lening project taxi Musa fam Bos</t>
  </si>
  <si>
    <t>Sponsoring kind 80 Tombong Fadera 1e termijn</t>
  </si>
  <si>
    <t>Sponsorkund</t>
  </si>
  <si>
    <t>Nieuw bedrag is 380.00</t>
  </si>
  <si>
    <t>sponsorkind</t>
  </si>
  <si>
    <t>Sponsering children 4 de termijn</t>
  </si>
  <si>
    <t>4e donatie marion ligthart schenk</t>
  </si>
  <si>
    <t>STICHTING JULIA</t>
  </si>
  <si>
    <t>ABNANL2A NL77ABNA0502252952</t>
  </si>
  <si>
    <t>Sponsorschap Bymyra School Gambia voor 2 jaar</t>
  </si>
  <si>
    <t>Periodieke gift Bymyra Bilingual School Gambia (4)</t>
  </si>
  <si>
    <t>Hr D H de Boer</t>
  </si>
  <si>
    <t>INGBNL2A NL87INGB0004919652</t>
  </si>
  <si>
    <t>Jaarlijkse bijdrage</t>
  </si>
  <si>
    <t>Schoolgeld voor Mustafa. Bijdrage Elena Ponzetti en Jesse van Kollem</t>
  </si>
  <si>
    <t>ASNBNL21 NL48ASNB0707300629</t>
  </si>
  <si>
    <t>Sponsoring Sanabou Ceesay</t>
  </si>
  <si>
    <t>Vierde betaling sponsoring kind Gambia</t>
  </si>
  <si>
    <t>sponsoring  pa Babou baldeh 2023</t>
  </si>
  <si>
    <t>Sponsoring Bymyra school ANBI</t>
  </si>
  <si>
    <t>Paul Kelder Consultancy B.V.</t>
  </si>
  <si>
    <t>INGBNL2A NL52INGB0007882759</t>
  </si>
  <si>
    <t>Aanvulling op sponsorkind van Ilse vdJ in Gambia. Bijdrage 2023</t>
  </si>
  <si>
    <t>4e van de 5 termijn</t>
  </si>
  <si>
    <t>Jaarlijkse gift kind/ jongere Kameroen (5jr)</t>
  </si>
  <si>
    <t>Retour (2x betaald) geld VEB vervoer balken</t>
  </si>
  <si>
    <t>Vergoeding kosten eigen rekening (correctie)</t>
  </si>
  <si>
    <t>Stichting Onderwijsgroep</t>
  </si>
  <si>
    <t>RABONL2U NL53RABO0182489469</t>
  </si>
  <si>
    <t>Factuur:223001</t>
  </si>
  <si>
    <t>Vergoeding voor projectkosten</t>
  </si>
  <si>
    <t>Check</t>
  </si>
  <si>
    <t>Terugbetaling lening 10000 euro plus 200 euro rente ida en Modou tnv Bymyra school</t>
  </si>
  <si>
    <t>Terugbetaling lening aan Ida Ndow 6000 euro plus 3% rente 11 maanden 165 euro</t>
  </si>
  <si>
    <t>Aflossing lening o/g en rente (Gels interim B.V.)</t>
  </si>
  <si>
    <t>Oelmeijer CF en/of Besaris IC</t>
  </si>
  <si>
    <t>terugterugbetalin lening aan stichting KameroenWerkt  lening van Ida Ndow van 28 juni 2022 10000 plus 250 rente is 10250 euro</t>
  </si>
  <si>
    <t>Aflossing lening o/g en rente (I.C. Besaris)</t>
  </si>
  <si>
    <t>1e terugbetaling lening voor land VEB 20000+600 rente</t>
  </si>
  <si>
    <t>Aflossing lening o/g en rente (Scymax B.V.)</t>
  </si>
  <si>
    <t>2 e deel terugbetaling lening Voor building vocational + rente</t>
  </si>
  <si>
    <t>Kosten van 01-10-2022 tot en met 31-12-2022</t>
  </si>
  <si>
    <t>Kosten van 01-01-2023 tot en met 31-03-2023</t>
  </si>
  <si>
    <t>Kosten van 01-04-2023 tot en met 30-06-2023</t>
  </si>
  <si>
    <t>Kosten van 01-07-2023 tot en met 30-09-2023</t>
  </si>
  <si>
    <t>NGM International B.V</t>
  </si>
  <si>
    <t>ABNANL2A NL29ABNA0252141644</t>
  </si>
  <si>
    <t>For Modou Ceesay NDOWCEE</t>
  </si>
  <si>
    <t>Donatie (afbouwen staffroom)</t>
  </si>
  <si>
    <t>Project school Tunbung Cash geld meegenomen naar Gambia en overhandigt aan Bertie Hendriks</t>
  </si>
  <si>
    <t>Donatie (Bymyra sportdag)</t>
  </si>
  <si>
    <t>MJV Hendriks-Jacobs</t>
  </si>
  <si>
    <t>Meenemen naar Gambia transport sportdag donatie Cathy de Poorter</t>
  </si>
  <si>
    <t>Voorgeschoten geld doir Bertie voor transport sportdag 4 maart</t>
  </si>
  <si>
    <t>t.b.v. project Foumbot</t>
  </si>
  <si>
    <t>Donatie (champignons Foumbot)</t>
  </si>
  <si>
    <t>Tent voor Bymyra Gambia opgehaald door Tom en door Bertie betaald</t>
  </si>
  <si>
    <t>Donatie (excursie Bymyra school)</t>
  </si>
  <si>
    <t>Cash geld project kleuterschool Tunbung</t>
  </si>
  <si>
    <t>Donatie (huis Effie)</t>
  </si>
  <si>
    <t>Lucas Karen</t>
  </si>
  <si>
    <t>Cash gegeven aan Bertie Hendriks voor project school TunbungVillage</t>
  </si>
  <si>
    <t>For Modou Ceesay Ndowcee  3000 Ida 400 Bussel  400 Effie</t>
  </si>
  <si>
    <t>Project building house Effie Gambia by Bettie Janssen</t>
  </si>
  <si>
    <t>Kerst geschenk rijst Bymyra school Gambia  Graag cash aan Ida of Bussel geven</t>
  </si>
  <si>
    <t>Donatie (rijst voor Kerst)</t>
  </si>
  <si>
    <t>Deel  erblijfskosten fam Cardi Bos Cash money gegeven door Bertie aan Yafatou</t>
  </si>
  <si>
    <t>Donatie (Tunbung village)</t>
  </si>
  <si>
    <t>H.B. Gels</t>
  </si>
  <si>
    <t>INGBNL2A NL91INGB0003634524</t>
  </si>
  <si>
    <t>Project Ida Modou Gambia via Bertie</t>
  </si>
  <si>
    <t>Terugbetaling vash gegeven 2000 euro foodproject 1 jaar door Bertie aan Ida</t>
  </si>
  <si>
    <t>Donatie (voedselprogramma 1)</t>
  </si>
  <si>
    <t>t.b.v. project voeding Bymyra Gambia  contant meenemen naar Gambia svp</t>
  </si>
  <si>
    <t>Donatie (voedselprogramma 3)</t>
  </si>
  <si>
    <t>Voedselproject Bymyra School Gambia.</t>
  </si>
  <si>
    <t>Donatie retour (kleuterschool Tunbung)</t>
  </si>
  <si>
    <t>terugbetaling cash gegeven geld 145000 dal aan Musa Taal Gambia</t>
  </si>
  <si>
    <t>Financiële transactie (tegenboeking)</t>
  </si>
  <si>
    <t>Correctie</t>
  </si>
  <si>
    <t>Loan Scymax for Ida Ndow and Modou Ceesay (Ndowcee) See contract June 2023</t>
  </si>
  <si>
    <t>Terugstorting verkeerd gestort bedrag</t>
  </si>
  <si>
    <t>factuur 2023.071</t>
  </si>
  <si>
    <t>factuurnr. 202340145501</t>
  </si>
  <si>
    <t>factuurnr. 202340149402</t>
  </si>
  <si>
    <t>Lening u/g (huis Effie)</t>
  </si>
  <si>
    <t>Lening u/g (taxi Musa Taal)</t>
  </si>
  <si>
    <t>Project Muss  Geld cash meegenomen naar Gambia voor Bertie Hendriks</t>
  </si>
  <si>
    <t>J.Vaes</t>
  </si>
  <si>
    <t>Project musa  contant gegeven aan Bertie Hendriks</t>
  </si>
  <si>
    <t>Teruggave geld vervoer balken VEB cash betaald in Gambia</t>
  </si>
  <si>
    <t>Vervoer zware balken van ROC voor project VEB betaald door Bertie</t>
  </si>
  <si>
    <t>Door Bertie cash betaald in Gambia 16200 +16750+9000 dalasi</t>
  </si>
  <si>
    <t>containerkosten 3978767 kameroenwerkt ne 624  1 april 2023</t>
  </si>
  <si>
    <t>containerkosten 3978998 kameroenwerkt 1april2023</t>
  </si>
  <si>
    <t>H. Gels</t>
  </si>
  <si>
    <t>Declaratie Kameroen Werkt (projectkosten)</t>
  </si>
  <si>
    <t>container 624 47 items 16 sept gebracht hg  bertie  3339875</t>
  </si>
  <si>
    <t>t.b.v. sponsoring 6 children in Foumbot Kameroen will be paid cash by Bertie in  Kameroen</t>
  </si>
  <si>
    <t>Tbv sponsoring Rushda in Foumbot Kameroen door Hester Roelofsen</t>
  </si>
  <si>
    <t>STAAT VAN HERKOMST EN BESTEDING VAN MIDDELEN 2023 STICHTING KAMEROEN WERKT!</t>
  </si>
  <si>
    <t>Gift/donatie voedselprogramma</t>
  </si>
  <si>
    <t>Subtotaal aflossing lening u/g</t>
  </si>
  <si>
    <t>Financiële transactie (door te boeken)</t>
  </si>
  <si>
    <t>Financiële transactie (foutieve boeking)</t>
  </si>
  <si>
    <t>Onterechte storting</t>
  </si>
  <si>
    <t>Financiële transacties</t>
  </si>
  <si>
    <t>Vergoedingen</t>
  </si>
  <si>
    <t>Voedselprogramma Bymyra school Gambia</t>
  </si>
  <si>
    <t>Aflossing lening o/g Gels interim B.V.</t>
  </si>
  <si>
    <t>Aflossing lening o/g I.C. Besaris</t>
  </si>
  <si>
    <t>Aflossing lening o/g Scymax B.V.</t>
  </si>
  <si>
    <t>Rente lening o/g Gels interim B.V.</t>
  </si>
  <si>
    <t>Rente lening o/g I.C. Besaris</t>
  </si>
  <si>
    <t>Rente lening o/g Scymax B.V.</t>
  </si>
  <si>
    <t>Vrijval vooruitontvangen bedragen in 2023</t>
  </si>
  <si>
    <t>Ontvangsten voor vooruitbetaalde bedragen in 2023</t>
  </si>
  <si>
    <t>Te ontvangen sponsorgelden Bymyra school over 2023</t>
  </si>
  <si>
    <t>Ontvangen bedragen over eerdere jaren in 2023</t>
  </si>
  <si>
    <t>Mutatie activa (nog te ontvangen bedragen)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</si>
</sst>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d\-m\-yyyy"/>
    <numFmt numFmtId="166" formatCode="_ [$€-413]\ * #,##0_ ;_ [$€-413]\ * \-#,##0_ ;_ [$€-413]\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1" fillId="0" borderId="0" xfId="0" applyNumberFormat="1" applyFont="1"/>
    <xf numFmtId="164" fontId="0" fillId="0" borderId="1" xfId="0" applyNumberFormat="1" applyBorder="1"/>
    <xf numFmtId="0" fontId="4" fillId="0" borderId="0" xfId="0" applyFont="1"/>
    <xf numFmtId="164" fontId="2" fillId="0" borderId="0" xfId="0" applyNumberFormat="1" applyFont="1"/>
    <xf numFmtId="0" fontId="1" fillId="0" borderId="2" xfId="0" applyFont="1" applyBorder="1"/>
    <xf numFmtId="0" fontId="1" fillId="2" borderId="3" xfId="0" applyFont="1" applyFill="1" applyBorder="1"/>
    <xf numFmtId="164" fontId="0" fillId="2" borderId="4" xfId="0" applyNumberFormat="1" applyFill="1" applyBorder="1"/>
    <xf numFmtId="0" fontId="3" fillId="3" borderId="3" xfId="0" applyFont="1" applyFill="1" applyBorder="1"/>
    <xf numFmtId="164" fontId="0" fillId="3" borderId="5" xfId="0" applyNumberFormat="1" applyFill="1" applyBorder="1"/>
    <xf numFmtId="0" fontId="0" fillId="3" borderId="5" xfId="0" applyFill="1" applyBorder="1"/>
    <xf numFmtId="164" fontId="0" fillId="3" borderId="4" xfId="0" applyNumberFormat="1" applyFill="1" applyBorder="1"/>
    <xf numFmtId="164" fontId="4" fillId="0" borderId="0" xfId="0" applyNumberFormat="1" applyFont="1"/>
    <xf numFmtId="0" fontId="3" fillId="4" borderId="3" xfId="0" applyFont="1" applyFill="1" applyBorder="1"/>
    <xf numFmtId="0" fontId="0" fillId="4" borderId="5" xfId="0" applyFill="1" applyBorder="1"/>
    <xf numFmtId="0" fontId="0" fillId="4" borderId="4" xfId="0" applyFill="1" applyBorder="1"/>
    <xf numFmtId="0" fontId="1" fillId="0" borderId="2" xfId="0" quotePrefix="1" applyFont="1" applyBorder="1" applyAlignment="1">
      <alignment horizontal="center" vertical="center"/>
    </xf>
    <xf numFmtId="164" fontId="4" fillId="0" borderId="2" xfId="0" applyNumberFormat="1" applyFont="1" applyBorder="1"/>
    <xf numFmtId="164" fontId="3" fillId="0" borderId="0" xfId="0" applyNumberFormat="1" applyFont="1"/>
    <xf numFmtId="0" fontId="3" fillId="0" borderId="0" xfId="0" applyFont="1"/>
    <xf numFmtId="0" fontId="3" fillId="5" borderId="3" xfId="0" applyFont="1" applyFill="1" applyBorder="1"/>
    <xf numFmtId="164" fontId="3" fillId="5" borderId="5" xfId="0" applyNumberFormat="1" applyFont="1" applyFill="1" applyBorder="1"/>
    <xf numFmtId="0" fontId="3" fillId="5" borderId="5" xfId="0" applyFont="1" applyFill="1" applyBorder="1"/>
    <xf numFmtId="164" fontId="3" fillId="5" borderId="4" xfId="0" applyNumberFormat="1" applyFont="1" applyFill="1" applyBorder="1"/>
    <xf numFmtId="164" fontId="2" fillId="0" borderId="1" xfId="0" applyNumberFormat="1" applyFont="1" applyBorder="1"/>
    <xf numFmtId="0" fontId="2" fillId="6" borderId="3" xfId="0" applyFont="1" applyFill="1" applyBorder="1"/>
    <xf numFmtId="164" fontId="0" fillId="6" borderId="5" xfId="0" applyNumberFormat="1" applyFill="1" applyBorder="1"/>
    <xf numFmtId="164" fontId="0" fillId="6" borderId="4" xfId="0" applyNumberFormat="1" applyFill="1" applyBorder="1"/>
    <xf numFmtId="0" fontId="0" fillId="6" borderId="5" xfId="0" applyFill="1" applyBorder="1"/>
    <xf numFmtId="0" fontId="0" fillId="6" borderId="4" xfId="0" applyFill="1" applyBorder="1"/>
    <xf numFmtId="0" fontId="0" fillId="5" borderId="5" xfId="0" applyFill="1" applyBorder="1"/>
    <xf numFmtId="0" fontId="0" fillId="5" borderId="4" xfId="0" applyFill="1" applyBorder="1"/>
    <xf numFmtId="0" fontId="7" fillId="0" borderId="0" xfId="1" applyFont="1" applyAlignment="1">
      <alignment vertical="center"/>
    </xf>
    <xf numFmtId="0" fontId="3" fillId="7" borderId="3" xfId="0" applyFont="1" applyFill="1" applyBorder="1"/>
    <xf numFmtId="0" fontId="3" fillId="7" borderId="5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3" fillId="7" borderId="5" xfId="0" applyFont="1" applyFill="1" applyBorder="1"/>
    <xf numFmtId="0" fontId="0" fillId="7" borderId="5" xfId="0" applyFill="1" applyBorder="1"/>
    <xf numFmtId="0" fontId="0" fillId="7" borderId="4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/>
    <xf numFmtId="14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166" fontId="0" fillId="0" borderId="0" xfId="0" applyNumberFormat="1"/>
    <xf numFmtId="166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66" fontId="0" fillId="0" borderId="0" xfId="0" quotePrefix="1" applyNumberFormat="1"/>
    <xf numFmtId="0" fontId="8" fillId="0" borderId="0" xfId="0" applyFont="1" applyAlignment="1">
      <alignment vertical="center"/>
    </xf>
    <xf numFmtId="166" fontId="0" fillId="0" borderId="1" xfId="0" applyNumberFormat="1" applyBorder="1"/>
    <xf numFmtId="166" fontId="1" fillId="0" borderId="0" xfId="0" applyNumberFormat="1" applyFont="1"/>
    <xf numFmtId="0" fontId="2" fillId="0" borderId="0" xfId="0" applyFont="1" applyAlignment="1">
      <alignment horizontal="left"/>
    </xf>
    <xf numFmtId="166" fontId="4" fillId="0" borderId="0" xfId="0" applyNumberFormat="1" applyFont="1"/>
    <xf numFmtId="164" fontId="1" fillId="9" borderId="0" xfId="0" applyNumberFormat="1" applyFont="1" applyFill="1"/>
    <xf numFmtId="0" fontId="0" fillId="10" borderId="6" xfId="0" applyFill="1" applyBorder="1" applyAlignment="1">
      <alignment horizontal="left"/>
    </xf>
    <xf numFmtId="166" fontId="0" fillId="10" borderId="7" xfId="0" applyNumberFormat="1" applyFill="1" applyBorder="1"/>
    <xf numFmtId="0" fontId="1" fillId="10" borderId="2" xfId="0" applyFont="1" applyFill="1" applyBorder="1"/>
    <xf numFmtId="0" fontId="0" fillId="10" borderId="8" xfId="0" applyFill="1" applyBorder="1" applyAlignment="1">
      <alignment horizontal="left"/>
    </xf>
    <xf numFmtId="166" fontId="0" fillId="10" borderId="0" xfId="0" applyNumberFormat="1" applyFill="1"/>
    <xf numFmtId="166" fontId="0" fillId="10" borderId="1" xfId="0" applyNumberFormat="1" applyFill="1" applyBorder="1"/>
    <xf numFmtId="0" fontId="0" fillId="10" borderId="9" xfId="0" applyFill="1" applyBorder="1" applyAlignment="1">
      <alignment horizontal="left"/>
    </xf>
    <xf numFmtId="166" fontId="1" fillId="10" borderId="1" xfId="0" applyNumberFormat="1" applyFont="1" applyFill="1" applyBorder="1"/>
    <xf numFmtId="0" fontId="0" fillId="0" borderId="0" xfId="0" quotePrefix="1"/>
    <xf numFmtId="166" fontId="0" fillId="3" borderId="0" xfId="0" applyNumberFormat="1" applyFill="1"/>
    <xf numFmtId="166" fontId="0" fillId="11" borderId="0" xfId="0" applyNumberFormat="1" applyFill="1"/>
    <xf numFmtId="166" fontId="0" fillId="10" borderId="10" xfId="0" applyNumberFormat="1" applyFill="1" applyBorder="1"/>
    <xf numFmtId="4" fontId="0" fillId="0" borderId="0" xfId="0" applyNumberFormat="1" applyAlignment="1">
      <alignment horizontal="left" vertical="center"/>
    </xf>
    <xf numFmtId="164" fontId="12" fillId="0" borderId="0" xfId="0" applyNumberFormat="1" applyFont="1"/>
    <xf numFmtId="164" fontId="12" fillId="0" borderId="1" xfId="0" applyNumberFormat="1" applyFont="1" applyBorder="1"/>
    <xf numFmtId="44" fontId="0" fillId="0" borderId="0" xfId="0" applyNumberFormat="1"/>
    <xf numFmtId="44" fontId="0" fillId="0" borderId="1" xfId="0" applyNumberFormat="1" applyBorder="1"/>
    <xf numFmtId="44" fontId="1" fillId="0" borderId="0" xfId="0" applyNumberFormat="1" applyFont="1"/>
    <xf numFmtId="166" fontId="0" fillId="6" borderId="0" xfId="0" applyNumberFormat="1" applyFill="1"/>
    <xf numFmtId="166" fontId="0" fillId="10" borderId="11" xfId="0" applyNumberFormat="1" applyFill="1" applyBorder="1"/>
    <xf numFmtId="166" fontId="1" fillId="10" borderId="4" xfId="0" applyNumberFormat="1" applyFont="1" applyFill="1" applyBorder="1"/>
    <xf numFmtId="0" fontId="13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4" fillId="11" borderId="3" xfId="0" applyFont="1" applyFill="1" applyBorder="1"/>
    <xf numFmtId="0" fontId="14" fillId="11" borderId="5" xfId="0" applyFont="1" applyFill="1" applyBorder="1" applyAlignment="1">
      <alignment horizontal="right"/>
    </xf>
    <xf numFmtId="0" fontId="14" fillId="11" borderId="5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left" vertical="center"/>
    </xf>
    <xf numFmtId="0" fontId="14" fillId="0" borderId="0" xfId="0" applyFont="1"/>
    <xf numFmtId="0" fontId="14" fillId="11" borderId="4" xfId="0" applyFont="1" applyFill="1" applyBorder="1" applyAlignment="1">
      <alignment horizontal="left" vertical="center"/>
    </xf>
    <xf numFmtId="0" fontId="15" fillId="0" borderId="0" xfId="0" applyFont="1"/>
    <xf numFmtId="165" fontId="13" fillId="0" borderId="0" xfId="0" applyNumberFormat="1" applyFont="1"/>
    <xf numFmtId="4" fontId="13" fillId="0" borderId="5" xfId="0" applyNumberFormat="1" applyFont="1" applyBorder="1" applyAlignment="1">
      <alignment horizontal="right"/>
    </xf>
    <xf numFmtId="4" fontId="13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/>
    </xf>
    <xf numFmtId="165" fontId="15" fillId="0" borderId="0" xfId="0" applyNumberFormat="1" applyFont="1" applyAlignment="1">
      <alignment horizontal="left"/>
    </xf>
    <xf numFmtId="4" fontId="16" fillId="8" borderId="2" xfId="0" applyNumberFormat="1" applyFont="1" applyFill="1" applyBorder="1" applyAlignment="1">
      <alignment horizontal="right"/>
    </xf>
    <xf numFmtId="0" fontId="14" fillId="6" borderId="3" xfId="0" applyFont="1" applyFill="1" applyBorder="1"/>
    <xf numFmtId="0" fontId="14" fillId="6" borderId="5" xfId="0" applyFont="1" applyFill="1" applyBorder="1" applyAlignment="1">
      <alignment horizontal="right"/>
    </xf>
    <xf numFmtId="0" fontId="14" fillId="6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0" xfId="0" applyFont="1" applyFill="1"/>
    <xf numFmtId="0" fontId="14" fillId="6" borderId="4" xfId="0" applyFont="1" applyFill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7" fillId="0" borderId="0" xfId="0" applyFont="1"/>
    <xf numFmtId="0" fontId="18" fillId="0" borderId="0" xfId="0" applyFont="1"/>
    <xf numFmtId="164" fontId="8" fillId="0" borderId="0" xfId="0" applyNumberFormat="1" applyFont="1"/>
    <xf numFmtId="164" fontId="4" fillId="2" borderId="2" xfId="0" applyNumberFormat="1" applyFont="1" applyFill="1" applyBorder="1"/>
  </cellXfs>
  <cellStyles count="2">
    <cellStyle name="Normal" xfId="1" xr:uid="{E6DC5143-DA3E-48F1-946A-F03799171442}"/>
    <cellStyle name="Standaard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workbookViewId="0"/>
  </sheetViews>
  <sheetFormatPr defaultRowHeight="14.4" x14ac:dyDescent="0.3"/>
  <cols>
    <col min="1" max="1" width="50.77734375" customWidth="1"/>
    <col min="2" max="3" width="12.77734375" customWidth="1"/>
    <col min="4" max="4" width="5.77734375" customWidth="1"/>
    <col min="5" max="5" width="50.77734375" customWidth="1"/>
    <col min="6" max="7" width="12.77734375" customWidth="1"/>
  </cols>
  <sheetData>
    <row r="1" spans="1:7" ht="15.6" x14ac:dyDescent="0.3">
      <c r="A1" s="16" t="s">
        <v>351</v>
      </c>
      <c r="B1" s="17"/>
      <c r="C1" s="17"/>
      <c r="D1" s="17"/>
      <c r="E1" s="17"/>
      <c r="F1" s="17"/>
      <c r="G1" s="18"/>
    </row>
    <row r="3" spans="1:7" x14ac:dyDescent="0.3">
      <c r="A3" s="8" t="s">
        <v>0</v>
      </c>
      <c r="B3" s="19" t="s">
        <v>349</v>
      </c>
      <c r="C3" s="19" t="s">
        <v>350</v>
      </c>
      <c r="E3" s="8" t="s">
        <v>1</v>
      </c>
      <c r="F3" s="19" t="s">
        <v>349</v>
      </c>
      <c r="G3" s="19" t="s">
        <v>350</v>
      </c>
    </row>
    <row r="4" spans="1:7" ht="9" customHeight="1" x14ac:dyDescent="0.3">
      <c r="B4" s="2"/>
      <c r="C4" s="2"/>
      <c r="F4" s="2"/>
      <c r="G4" s="2"/>
    </row>
    <row r="5" spans="1:7" x14ac:dyDescent="0.3">
      <c r="A5" s="3" t="s">
        <v>4</v>
      </c>
      <c r="B5" s="2"/>
      <c r="C5" s="76"/>
      <c r="E5" s="3" t="s">
        <v>7</v>
      </c>
      <c r="F5" s="2"/>
      <c r="G5" s="2"/>
    </row>
    <row r="6" spans="1:7" x14ac:dyDescent="0.3">
      <c r="A6" t="s">
        <v>17</v>
      </c>
      <c r="B6" s="2">
        <f>10000</f>
        <v>10000</v>
      </c>
      <c r="C6" s="76">
        <f>0</f>
        <v>0</v>
      </c>
      <c r="E6" t="s">
        <v>19</v>
      </c>
      <c r="F6" s="2">
        <f>10000</f>
        <v>10000</v>
      </c>
      <c r="G6" s="2">
        <f>F6-SHBM!F30</f>
        <v>0</v>
      </c>
    </row>
    <row r="7" spans="1:7" x14ac:dyDescent="0.3">
      <c r="A7" t="s">
        <v>167</v>
      </c>
      <c r="B7" s="2">
        <f>5000</f>
        <v>5000</v>
      </c>
      <c r="C7" s="76">
        <f>B7-SHBM!B27</f>
        <v>4000</v>
      </c>
      <c r="E7" t="s">
        <v>13</v>
      </c>
      <c r="F7" s="2">
        <f>10000</f>
        <v>10000</v>
      </c>
      <c r="G7" s="2">
        <f>F7-SHBM!F32</f>
        <v>0</v>
      </c>
    </row>
    <row r="8" spans="1:7" x14ac:dyDescent="0.3">
      <c r="A8" t="s">
        <v>168</v>
      </c>
      <c r="B8" s="2">
        <f>4000</f>
        <v>4000</v>
      </c>
      <c r="C8" s="76">
        <f>B8-SHBM!B26</f>
        <v>2500</v>
      </c>
      <c r="E8" t="s">
        <v>14</v>
      </c>
      <c r="F8" s="2">
        <f>30000</f>
        <v>30000</v>
      </c>
      <c r="G8" s="2">
        <f>F8-SHBM!F33</f>
        <v>0</v>
      </c>
    </row>
    <row r="9" spans="1:7" x14ac:dyDescent="0.3">
      <c r="A9" t="s">
        <v>169</v>
      </c>
      <c r="B9" s="2">
        <f>7000+2000+300-650</f>
        <v>8650</v>
      </c>
      <c r="C9" s="76">
        <f>B9-2000-SHBM!B28</f>
        <v>671</v>
      </c>
      <c r="E9" t="s">
        <v>237</v>
      </c>
      <c r="F9" s="2">
        <f>6000</f>
        <v>6000</v>
      </c>
      <c r="G9" s="2">
        <f>F9-SHBM!F31</f>
        <v>0</v>
      </c>
    </row>
    <row r="10" spans="1:7" x14ac:dyDescent="0.3">
      <c r="A10" t="s">
        <v>238</v>
      </c>
      <c r="B10" s="2">
        <f>51000-5000</f>
        <v>46000</v>
      </c>
      <c r="C10" s="76">
        <f>0</f>
        <v>0</v>
      </c>
      <c r="E10" t="s">
        <v>355</v>
      </c>
      <c r="F10" s="2">
        <f>0</f>
        <v>0</v>
      </c>
      <c r="G10" s="2">
        <f>SHBM!B23-500</f>
        <v>1000</v>
      </c>
    </row>
    <row r="11" spans="1:7" x14ac:dyDescent="0.3">
      <c r="A11" t="s">
        <v>352</v>
      </c>
      <c r="B11" s="2">
        <f>0</f>
        <v>0</v>
      </c>
      <c r="C11" s="76">
        <f>SHBM!F27</f>
        <v>2250</v>
      </c>
      <c r="E11" t="s">
        <v>354</v>
      </c>
      <c r="F11" s="2">
        <f>0</f>
        <v>0</v>
      </c>
      <c r="G11" s="2">
        <f>SHBM!B23-1000</f>
        <v>500</v>
      </c>
    </row>
    <row r="12" spans="1:7" x14ac:dyDescent="0.3">
      <c r="A12" t="s">
        <v>359</v>
      </c>
      <c r="B12" s="2">
        <f>0</f>
        <v>0</v>
      </c>
      <c r="C12" s="76">
        <f>SHBM!F26</f>
        <v>3000</v>
      </c>
      <c r="E12" t="s">
        <v>358</v>
      </c>
      <c r="F12" s="2">
        <f>0</f>
        <v>0</v>
      </c>
      <c r="G12" s="2">
        <f>SHBM!B22</f>
        <v>3000</v>
      </c>
    </row>
    <row r="13" spans="1:7" x14ac:dyDescent="0.3">
      <c r="B13" s="2"/>
      <c r="C13" s="76"/>
      <c r="F13" s="2"/>
      <c r="G13" s="2"/>
    </row>
    <row r="14" spans="1:7" x14ac:dyDescent="0.3">
      <c r="A14" t="s">
        <v>239</v>
      </c>
      <c r="B14" s="2">
        <f>11000</f>
        <v>11000</v>
      </c>
      <c r="C14" s="76">
        <f>C30</f>
        <v>34228</v>
      </c>
      <c r="F14" s="2"/>
    </row>
    <row r="15" spans="1:7" x14ac:dyDescent="0.3">
      <c r="B15" s="2"/>
      <c r="C15" s="76"/>
      <c r="E15" t="s">
        <v>180</v>
      </c>
      <c r="F15" s="2">
        <f>30</f>
        <v>30</v>
      </c>
      <c r="G15" s="2">
        <f>C51</f>
        <v>15530</v>
      </c>
    </row>
    <row r="16" spans="1:7" x14ac:dyDescent="0.3">
      <c r="A16" t="s">
        <v>24</v>
      </c>
      <c r="B16" s="2">
        <f>0</f>
        <v>0</v>
      </c>
      <c r="C16" s="76">
        <f>C36</f>
        <v>1520</v>
      </c>
      <c r="F16" s="2"/>
      <c r="G16" s="2"/>
    </row>
    <row r="17" spans="1:8" x14ac:dyDescent="0.3">
      <c r="B17" s="2"/>
      <c r="C17" s="76"/>
      <c r="E17" t="s">
        <v>16</v>
      </c>
      <c r="F17" s="2">
        <f>10140</f>
        <v>10140</v>
      </c>
      <c r="G17" s="109">
        <f>C43</f>
        <v>10000</v>
      </c>
    </row>
    <row r="18" spans="1:8" x14ac:dyDescent="0.3">
      <c r="A18" s="3" t="s">
        <v>5</v>
      </c>
      <c r="B18" s="2"/>
      <c r="C18" s="76"/>
      <c r="F18" s="2"/>
      <c r="G18" s="2"/>
    </row>
    <row r="19" spans="1:8" x14ac:dyDescent="0.3">
      <c r="A19" t="s">
        <v>15</v>
      </c>
      <c r="B19" s="2">
        <f>18489.52</f>
        <v>18489.52</v>
      </c>
      <c r="C19" s="76">
        <f>B19+Bankmutaties!B238-Bankmutaties!B327</f>
        <v>8280.6299999999756</v>
      </c>
      <c r="E19" t="s">
        <v>6</v>
      </c>
      <c r="F19" s="2">
        <f>36969.52</f>
        <v>36969.519999999997</v>
      </c>
      <c r="G19" s="2">
        <f>C21-G6-G7-G8-G9-G10-G11-G12-G15-G17</f>
        <v>26419.629999999976</v>
      </c>
    </row>
    <row r="20" spans="1:8" x14ac:dyDescent="0.3">
      <c r="B20" s="5"/>
      <c r="C20" s="77"/>
      <c r="F20" s="5"/>
      <c r="G20" s="5"/>
    </row>
    <row r="21" spans="1:8" ht="15.6" x14ac:dyDescent="0.3">
      <c r="B21" s="4">
        <f>SUM(B4:B20)</f>
        <v>103139.52</v>
      </c>
      <c r="C21" s="78">
        <f>SUM(C4:C20)</f>
        <v>56449.629999999976</v>
      </c>
      <c r="F21" s="4">
        <f>SUM(F4:F20)</f>
        <v>103139.51999999999</v>
      </c>
      <c r="G21" s="4">
        <f>SUM(G4:G20)</f>
        <v>56449.629999999976</v>
      </c>
      <c r="H21" s="22"/>
    </row>
    <row r="22" spans="1:8" ht="15.6" x14ac:dyDescent="0.3">
      <c r="B22" s="2"/>
      <c r="C22" s="2"/>
      <c r="F22" s="4"/>
      <c r="G22" s="4"/>
      <c r="H22" s="22"/>
    </row>
    <row r="23" spans="1:8" s="22" customFormat="1" ht="15.6" x14ac:dyDescent="0.3">
      <c r="A23"/>
      <c r="B23" s="2"/>
      <c r="C23" s="2"/>
      <c r="D23"/>
      <c r="E23"/>
      <c r="F23" s="4"/>
      <c r="G23" s="4"/>
      <c r="H23"/>
    </row>
    <row r="24" spans="1:8" ht="15.6" x14ac:dyDescent="0.3">
      <c r="A24" s="23" t="s">
        <v>364</v>
      </c>
      <c r="B24" s="24"/>
      <c r="C24" s="24"/>
      <c r="D24" s="25"/>
      <c r="E24" s="25"/>
      <c r="F24" s="24"/>
      <c r="G24" s="26"/>
    </row>
    <row r="25" spans="1:8" ht="15.6" x14ac:dyDescent="0.3">
      <c r="A25" s="22"/>
      <c r="B25" s="21"/>
      <c r="C25" s="21"/>
      <c r="D25" s="22"/>
      <c r="E25" s="22"/>
      <c r="F25" s="21"/>
      <c r="G25" s="21"/>
    </row>
    <row r="26" spans="1:8" x14ac:dyDescent="0.3">
      <c r="A26" s="28" t="s">
        <v>239</v>
      </c>
      <c r="B26" s="31"/>
      <c r="C26" s="32"/>
      <c r="E26" s="28" t="s">
        <v>18</v>
      </c>
      <c r="F26" s="29"/>
      <c r="G26" s="30"/>
    </row>
    <row r="27" spans="1:8" x14ac:dyDescent="0.3">
      <c r="A27" t="s">
        <v>26</v>
      </c>
      <c r="B27" s="2"/>
      <c r="C27" s="2">
        <f>B14</f>
        <v>11000</v>
      </c>
      <c r="E27" t="s">
        <v>12</v>
      </c>
      <c r="F27" s="2"/>
      <c r="G27" s="2">
        <f>F19</f>
        <v>36969.519999999997</v>
      </c>
    </row>
    <row r="28" spans="1:8" x14ac:dyDescent="0.3">
      <c r="A28" t="s">
        <v>661</v>
      </c>
      <c r="B28" s="2"/>
      <c r="C28" s="2">
        <f>-11000</f>
        <v>-11000</v>
      </c>
      <c r="E28" t="s">
        <v>11</v>
      </c>
      <c r="F28" s="2"/>
      <c r="G28" s="2">
        <f>SHBM!C35</f>
        <v>168170.79</v>
      </c>
    </row>
    <row r="29" spans="1:8" x14ac:dyDescent="0.3">
      <c r="A29" t="s">
        <v>362</v>
      </c>
      <c r="B29" s="2"/>
      <c r="C29" s="5">
        <f>34228</f>
        <v>34228</v>
      </c>
      <c r="E29" t="s">
        <v>9</v>
      </c>
      <c r="F29" s="2"/>
      <c r="G29" s="2">
        <f>-SHBM!G44</f>
        <v>-178379.68</v>
      </c>
    </row>
    <row r="30" spans="1:8" x14ac:dyDescent="0.3">
      <c r="A30" s="1" t="s">
        <v>363</v>
      </c>
      <c r="B30" s="2"/>
      <c r="C30" s="4">
        <f>SUM(C27:C29)</f>
        <v>34228</v>
      </c>
      <c r="E30" t="s">
        <v>235</v>
      </c>
      <c r="F30" s="2"/>
      <c r="G30" s="2">
        <f>C6-B6+C7-B7+C8-B8+C9-B9+C10-B10+C11-B11+C12-B12</f>
        <v>-61229</v>
      </c>
    </row>
    <row r="31" spans="1:8" x14ac:dyDescent="0.3">
      <c r="A31" s="1"/>
      <c r="B31" s="2"/>
      <c r="C31" s="4"/>
      <c r="E31" t="s">
        <v>347</v>
      </c>
      <c r="F31" s="2"/>
      <c r="G31" s="2">
        <f>C14-B14</f>
        <v>23228</v>
      </c>
    </row>
    <row r="32" spans="1:8" x14ac:dyDescent="0.3">
      <c r="A32" s="28" t="s">
        <v>24</v>
      </c>
      <c r="B32" s="31"/>
      <c r="C32" s="32"/>
      <c r="E32" t="s">
        <v>664</v>
      </c>
      <c r="F32" s="2"/>
      <c r="G32" s="2">
        <f>C16-B16</f>
        <v>1520</v>
      </c>
    </row>
    <row r="33" spans="1:7" x14ac:dyDescent="0.3">
      <c r="A33" t="s">
        <v>26</v>
      </c>
      <c r="B33" s="2"/>
      <c r="C33" s="2">
        <f>B22</f>
        <v>0</v>
      </c>
      <c r="E33" t="s">
        <v>348</v>
      </c>
      <c r="F33" s="2"/>
      <c r="G33" s="2">
        <f>F6-G6+F7-G7+F8-G8+F9-G9+F10-G10+F11-G11+F12-G12</f>
        <v>51500</v>
      </c>
    </row>
    <row r="34" spans="1:7" x14ac:dyDescent="0.3">
      <c r="A34" t="s">
        <v>662</v>
      </c>
      <c r="B34" s="2"/>
      <c r="C34" s="2">
        <f>'Sponsoring Bymyra'!K93</f>
        <v>1520</v>
      </c>
      <c r="E34" t="s">
        <v>23</v>
      </c>
      <c r="F34" s="2"/>
      <c r="G34" s="2">
        <f>F17-G17</f>
        <v>140</v>
      </c>
    </row>
    <row r="35" spans="1:7" x14ac:dyDescent="0.3">
      <c r="A35" t="s">
        <v>663</v>
      </c>
      <c r="B35" s="2"/>
      <c r="C35" s="5">
        <f>0</f>
        <v>0</v>
      </c>
      <c r="E35" t="s">
        <v>236</v>
      </c>
      <c r="F35" s="2"/>
      <c r="G35" s="5">
        <f>F15-G15</f>
        <v>-15500</v>
      </c>
    </row>
    <row r="36" spans="1:7" x14ac:dyDescent="0.3">
      <c r="A36" s="1" t="s">
        <v>27</v>
      </c>
      <c r="B36" s="2"/>
      <c r="C36" s="4">
        <f>SUM(C33:C35)</f>
        <v>1520</v>
      </c>
      <c r="E36" s="6" t="s">
        <v>10</v>
      </c>
      <c r="F36" s="2"/>
      <c r="G36" s="15">
        <f>SUM(G27:G35)</f>
        <v>26419.630000000005</v>
      </c>
    </row>
    <row r="37" spans="1:7" x14ac:dyDescent="0.3">
      <c r="A37" s="1"/>
      <c r="B37" s="2"/>
      <c r="C37" s="4"/>
      <c r="E37" s="6"/>
      <c r="F37" s="2"/>
      <c r="G37" s="15"/>
    </row>
    <row r="38" spans="1:7" x14ac:dyDescent="0.3">
      <c r="A38" s="28" t="s">
        <v>16</v>
      </c>
      <c r="B38" s="31"/>
      <c r="C38" s="32"/>
      <c r="E38" s="6"/>
      <c r="F38" s="2"/>
      <c r="G38" s="110">
        <f>G19-G36</f>
        <v>-2.9103830456733704E-11</v>
      </c>
    </row>
    <row r="39" spans="1:7" x14ac:dyDescent="0.3">
      <c r="A39" t="s">
        <v>26</v>
      </c>
      <c r="C39" s="2">
        <f>F17</f>
        <v>10140</v>
      </c>
    </row>
    <row r="40" spans="1:7" ht="15.6" x14ac:dyDescent="0.3">
      <c r="A40" t="s">
        <v>233</v>
      </c>
      <c r="C40" s="2">
        <f>'Sponsoring Kameroen'!G15</f>
        <v>1140</v>
      </c>
      <c r="E40" s="23" t="s">
        <v>346</v>
      </c>
      <c r="F40" s="33"/>
      <c r="G40" s="34"/>
    </row>
    <row r="41" spans="1:7" x14ac:dyDescent="0.3">
      <c r="A41" t="s">
        <v>234</v>
      </c>
      <c r="C41" s="2">
        <f>'Sponsoring Bymyra'!P100</f>
        <v>3860</v>
      </c>
      <c r="E41" s="69" t="s">
        <v>376</v>
      </c>
    </row>
    <row r="42" spans="1:7" x14ac:dyDescent="0.3">
      <c r="A42" t="s">
        <v>660</v>
      </c>
      <c r="C42" s="5">
        <f>-'Sponsoring Bymyra'!K105-('Sponsoring Kameroen'!F15-'Sponsoring Kameroen'!G15)</f>
        <v>-5140</v>
      </c>
      <c r="E42" s="69" t="s">
        <v>375</v>
      </c>
    </row>
    <row r="43" spans="1:7" x14ac:dyDescent="0.3">
      <c r="A43" s="1" t="s">
        <v>25</v>
      </c>
      <c r="C43" s="4">
        <f>SUM(C39:C42)</f>
        <v>10000</v>
      </c>
      <c r="E43" s="69"/>
    </row>
    <row r="44" spans="1:7" x14ac:dyDescent="0.3">
      <c r="A44" s="6"/>
      <c r="C44" s="15"/>
      <c r="E44" s="69"/>
    </row>
    <row r="45" spans="1:7" x14ac:dyDescent="0.3">
      <c r="A45" s="28" t="s">
        <v>180</v>
      </c>
      <c r="B45" s="31"/>
      <c r="C45" s="32"/>
    </row>
    <row r="46" spans="1:7" x14ac:dyDescent="0.3">
      <c r="A46" t="s">
        <v>26</v>
      </c>
      <c r="C46" s="2">
        <f>F15</f>
        <v>30</v>
      </c>
    </row>
    <row r="47" spans="1:7" x14ac:dyDescent="0.3">
      <c r="A47" t="s">
        <v>361</v>
      </c>
      <c r="C47" s="2">
        <f>Bankmutaties!B79</f>
        <v>13750</v>
      </c>
    </row>
    <row r="48" spans="1:7" x14ac:dyDescent="0.3">
      <c r="A48" t="s">
        <v>357</v>
      </c>
      <c r="C48" s="2">
        <f>1000</f>
        <v>1000</v>
      </c>
    </row>
    <row r="49" spans="1:7" x14ac:dyDescent="0.3">
      <c r="A49" t="s">
        <v>377</v>
      </c>
      <c r="C49" s="2">
        <f>750</f>
        <v>750</v>
      </c>
    </row>
    <row r="50" spans="1:7" x14ac:dyDescent="0.3">
      <c r="A50" t="s">
        <v>360</v>
      </c>
      <c r="C50" s="5">
        <f>0</f>
        <v>0</v>
      </c>
    </row>
    <row r="51" spans="1:7" x14ac:dyDescent="0.3">
      <c r="A51" s="1" t="s">
        <v>345</v>
      </c>
      <c r="C51" s="4">
        <f>SUM(C46:C50)</f>
        <v>15530</v>
      </c>
      <c r="G51" s="2"/>
    </row>
  </sheetData>
  <pageMargins left="0.70866141732283472" right="0.70866141732283472" top="0.74803149606299213" bottom="0.74803149606299213" header="0.31496062992125984" footer="0.31496062992125984"/>
  <pageSetup paperSize="8" scale="9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workbookViewId="0"/>
  </sheetViews>
  <sheetFormatPr defaultRowHeight="14.4" x14ac:dyDescent="0.3"/>
  <cols>
    <col min="1" max="1" width="50.77734375" customWidth="1"/>
    <col min="2" max="2" width="12.77734375" style="2" customWidth="1"/>
    <col min="3" max="3" width="12.77734375" customWidth="1"/>
    <col min="4" max="4" width="3.77734375" customWidth="1"/>
    <col min="5" max="5" width="50.77734375" customWidth="1"/>
    <col min="6" max="7" width="12.77734375" style="2" customWidth="1"/>
    <col min="8" max="8" width="12.6640625" customWidth="1"/>
  </cols>
  <sheetData>
    <row r="1" spans="1:7" ht="15.6" x14ac:dyDescent="0.3">
      <c r="A1" s="11" t="s">
        <v>645</v>
      </c>
      <c r="B1" s="12"/>
      <c r="C1" s="13"/>
      <c r="D1" s="13"/>
      <c r="E1" s="13"/>
      <c r="F1" s="12"/>
      <c r="G1" s="14"/>
    </row>
    <row r="4" spans="1:7" x14ac:dyDescent="0.3">
      <c r="A4" s="9" t="s">
        <v>2</v>
      </c>
      <c r="B4" s="10"/>
      <c r="E4" s="9" t="s">
        <v>8</v>
      </c>
      <c r="F4" s="10"/>
    </row>
    <row r="5" spans="1:7" x14ac:dyDescent="0.3">
      <c r="A5" s="94" t="s">
        <v>440</v>
      </c>
      <c r="B5" s="2">
        <f>Bankmutaties!B66</f>
        <v>100</v>
      </c>
      <c r="C5" s="2"/>
      <c r="E5" s="3" t="s">
        <v>29</v>
      </c>
      <c r="G5" s="7">
        <f>Bankmutaties!B253</f>
        <v>179.85000000000002</v>
      </c>
    </row>
    <row r="6" spans="1:7" x14ac:dyDescent="0.3">
      <c r="A6" s="94" t="s">
        <v>444</v>
      </c>
      <c r="B6" s="2">
        <f>Bankmutaties!B74</f>
        <v>250</v>
      </c>
      <c r="C6" s="2"/>
    </row>
    <row r="7" spans="1:7" x14ac:dyDescent="0.3">
      <c r="A7" s="82" t="s">
        <v>450</v>
      </c>
      <c r="B7" s="2">
        <f>Bankmutaties!B79</f>
        <v>13750</v>
      </c>
      <c r="C7" s="2"/>
      <c r="E7" s="3" t="s">
        <v>162</v>
      </c>
      <c r="G7" s="7">
        <f>Bankmutaties!B321</f>
        <v>3348.7</v>
      </c>
    </row>
    <row r="8" spans="1:7" x14ac:dyDescent="0.3">
      <c r="A8" s="94" t="s">
        <v>455</v>
      </c>
      <c r="B8" s="2">
        <f>Bankmutaties!B94</f>
        <v>4755</v>
      </c>
      <c r="C8" s="2"/>
    </row>
    <row r="9" spans="1:7" x14ac:dyDescent="0.3">
      <c r="A9" s="82" t="s">
        <v>474</v>
      </c>
      <c r="B9" s="2">
        <f>Bankmutaties!B98</f>
        <v>200</v>
      </c>
      <c r="C9" s="2"/>
      <c r="E9" s="3" t="s">
        <v>28</v>
      </c>
      <c r="G9" s="7">
        <f>Bankmutaties!B304</f>
        <v>303.56</v>
      </c>
    </row>
    <row r="10" spans="1:7" x14ac:dyDescent="0.3">
      <c r="A10" s="94" t="s">
        <v>477</v>
      </c>
      <c r="B10" s="2">
        <f>Bankmutaties!B156</f>
        <v>2000</v>
      </c>
      <c r="C10" s="2"/>
    </row>
    <row r="11" spans="1:7" x14ac:dyDescent="0.3">
      <c r="A11" s="94" t="s">
        <v>304</v>
      </c>
      <c r="B11" s="2">
        <f>Bankmutaties!B165</f>
        <v>5928.22</v>
      </c>
      <c r="C11" s="5"/>
      <c r="E11" s="82" t="s">
        <v>593</v>
      </c>
      <c r="F11" s="74">
        <f>Bankmutaties!B256</f>
        <v>10000</v>
      </c>
      <c r="G11" s="74"/>
    </row>
    <row r="12" spans="1:7" x14ac:dyDescent="0.3">
      <c r="A12" s="3" t="s">
        <v>22</v>
      </c>
      <c r="C12" s="7">
        <f>SUM(B5:B11)</f>
        <v>26983.22</v>
      </c>
      <c r="E12" s="82" t="s">
        <v>595</v>
      </c>
      <c r="F12" s="74">
        <f>Bankmutaties!B261</f>
        <v>570</v>
      </c>
      <c r="G12" s="74"/>
    </row>
    <row r="13" spans="1:7" x14ac:dyDescent="0.3">
      <c r="A13" s="3"/>
      <c r="C13" s="7"/>
      <c r="E13" s="82" t="s">
        <v>600</v>
      </c>
      <c r="F13" s="74">
        <f>Bankmutaties!B264</f>
        <v>32.57</v>
      </c>
      <c r="G13" s="74"/>
    </row>
    <row r="14" spans="1:7" x14ac:dyDescent="0.3">
      <c r="A14" s="3" t="s">
        <v>30</v>
      </c>
      <c r="C14" s="7">
        <f>Bankmutaties!B63</f>
        <v>5618.57</v>
      </c>
      <c r="E14" s="94" t="s">
        <v>602</v>
      </c>
      <c r="F14" s="74">
        <f>Bankmutaties!B267</f>
        <v>100</v>
      </c>
      <c r="G14" s="74"/>
    </row>
    <row r="15" spans="1:7" x14ac:dyDescent="0.3">
      <c r="C15" s="2"/>
      <c r="E15" s="94" t="s">
        <v>604</v>
      </c>
      <c r="F15" s="74">
        <f>Bankmutaties!B274</f>
        <v>9000</v>
      </c>
      <c r="G15" s="74"/>
    </row>
    <row r="16" spans="1:7" x14ac:dyDescent="0.3">
      <c r="A16" t="s">
        <v>165</v>
      </c>
      <c r="B16" s="2">
        <f>Bankmutaties!B225</f>
        <v>16650</v>
      </c>
      <c r="C16" s="2"/>
      <c r="E16" s="82" t="s">
        <v>610</v>
      </c>
      <c r="F16" s="74">
        <f>Bankmutaties!B277</f>
        <v>1000</v>
      </c>
      <c r="G16" s="74"/>
    </row>
    <row r="17" spans="1:7" x14ac:dyDescent="0.3">
      <c r="A17" s="73" t="s">
        <v>646</v>
      </c>
      <c r="B17" s="2">
        <f>Bankmutaties!B172</f>
        <v>48506</v>
      </c>
      <c r="C17" s="5"/>
      <c r="E17" s="94" t="s">
        <v>612</v>
      </c>
      <c r="F17" s="74">
        <f>Bankmutaties!B280</f>
        <v>300</v>
      </c>
      <c r="G17" s="74"/>
    </row>
    <row r="18" spans="1:7" x14ac:dyDescent="0.3">
      <c r="A18" s="3" t="s">
        <v>164</v>
      </c>
      <c r="C18" s="7">
        <f>SUM(B16:B17)</f>
        <v>65156</v>
      </c>
      <c r="E18" s="82" t="s">
        <v>331</v>
      </c>
      <c r="F18" s="74">
        <f>Bankmutaties!B283</f>
        <v>5000</v>
      </c>
      <c r="G18" s="74"/>
    </row>
    <row r="19" spans="1:7" x14ac:dyDescent="0.3">
      <c r="A19" s="3"/>
      <c r="C19" s="7"/>
      <c r="E19" s="82" t="s">
        <v>621</v>
      </c>
      <c r="F19" s="74">
        <f>Bankmutaties!B294</f>
        <v>6000</v>
      </c>
      <c r="G19" s="75"/>
    </row>
    <row r="20" spans="1:7" x14ac:dyDescent="0.3">
      <c r="A20" s="35" t="s">
        <v>146</v>
      </c>
      <c r="C20" s="7">
        <f>Bankmutaties!B230</f>
        <v>1330</v>
      </c>
      <c r="D20" s="7"/>
      <c r="E20" s="3" t="s">
        <v>3</v>
      </c>
      <c r="F20" s="74"/>
      <c r="G20" s="7">
        <f>SUM(F11:F19)</f>
        <v>32002.57</v>
      </c>
    </row>
    <row r="21" spans="1:7" x14ac:dyDescent="0.3">
      <c r="C21" s="2"/>
      <c r="D21" s="7"/>
      <c r="E21" s="3"/>
      <c r="G21" s="7"/>
    </row>
    <row r="22" spans="1:7" x14ac:dyDescent="0.3">
      <c r="A22" s="94" t="s">
        <v>356</v>
      </c>
      <c r="B22" s="2">
        <f>Bankmutaties!B175</f>
        <v>3000</v>
      </c>
      <c r="C22" s="2"/>
      <c r="E22" s="3" t="s">
        <v>146</v>
      </c>
      <c r="G22" s="7">
        <f>Bankmutaties!B325</f>
        <v>1900</v>
      </c>
    </row>
    <row r="23" spans="1:7" x14ac:dyDescent="0.3">
      <c r="A23" s="94" t="s">
        <v>353</v>
      </c>
      <c r="B23" s="2">
        <f>Bankmutaties!B179</f>
        <v>1500</v>
      </c>
      <c r="C23" s="5"/>
      <c r="E23" s="3"/>
    </row>
    <row r="24" spans="1:7" x14ac:dyDescent="0.3">
      <c r="A24" s="35" t="s">
        <v>166</v>
      </c>
      <c r="C24" s="7">
        <f>SUM(B22:B23)</f>
        <v>4500</v>
      </c>
      <c r="D24" s="7"/>
      <c r="E24" s="3" t="s">
        <v>653</v>
      </c>
      <c r="G24" s="7">
        <f>Bankmutaties!B291</f>
        <v>23800</v>
      </c>
    </row>
    <row r="25" spans="1:7" x14ac:dyDescent="0.3">
      <c r="A25" s="35"/>
      <c r="C25" s="7"/>
      <c r="D25" s="7"/>
    </row>
    <row r="26" spans="1:7" x14ac:dyDescent="0.3">
      <c r="A26" s="94" t="s">
        <v>379</v>
      </c>
      <c r="B26" s="2">
        <f>Bankmutaties!B3</f>
        <v>1500</v>
      </c>
      <c r="C26" s="7"/>
      <c r="D26" s="7"/>
      <c r="E26" s="82" t="s">
        <v>630</v>
      </c>
      <c r="F26" s="2">
        <f>Bankmutaties!B307</f>
        <v>3000</v>
      </c>
    </row>
    <row r="27" spans="1:7" x14ac:dyDescent="0.3">
      <c r="A27" s="94" t="s">
        <v>381</v>
      </c>
      <c r="B27" s="2">
        <f>Bankmutaties!B6</f>
        <v>1000</v>
      </c>
      <c r="C27" s="7"/>
      <c r="D27" s="7"/>
      <c r="E27" s="94" t="s">
        <v>631</v>
      </c>
      <c r="F27" s="2">
        <f>Bankmutaties!B312</f>
        <v>2250</v>
      </c>
      <c r="G27" s="5"/>
    </row>
    <row r="28" spans="1:7" x14ac:dyDescent="0.3">
      <c r="A28" s="94" t="s">
        <v>341</v>
      </c>
      <c r="B28" s="2">
        <f>Bankmutaties!B22</f>
        <v>5979</v>
      </c>
      <c r="C28" s="27"/>
      <c r="D28" s="7"/>
      <c r="E28" s="3" t="s">
        <v>344</v>
      </c>
      <c r="G28" s="7">
        <f>SUM(F26:F27)</f>
        <v>5250</v>
      </c>
    </row>
    <row r="29" spans="1:7" x14ac:dyDescent="0.3">
      <c r="A29" s="35" t="s">
        <v>647</v>
      </c>
      <c r="C29" s="7">
        <f>SUM(B26:B28)</f>
        <v>8479</v>
      </c>
      <c r="D29" s="7"/>
      <c r="E29" s="3"/>
      <c r="G29" s="7"/>
    </row>
    <row r="30" spans="1:7" x14ac:dyDescent="0.3">
      <c r="A30" s="35"/>
      <c r="C30" s="7"/>
      <c r="D30" s="7"/>
      <c r="E30" s="94" t="s">
        <v>343</v>
      </c>
      <c r="F30" s="2">
        <f>Bankmutaties!B242-200</f>
        <v>10000</v>
      </c>
      <c r="G30" s="7"/>
    </row>
    <row r="31" spans="1:7" x14ac:dyDescent="0.3">
      <c r="A31" s="108" t="s">
        <v>651</v>
      </c>
      <c r="C31" s="7">
        <f>Bankmutaties!B27</f>
        <v>54250</v>
      </c>
      <c r="E31" s="94" t="s">
        <v>654</v>
      </c>
      <c r="F31" s="2">
        <f>Bankmutaties!B243-165</f>
        <v>6000</v>
      </c>
      <c r="G31" s="7"/>
    </row>
    <row r="32" spans="1:7" x14ac:dyDescent="0.3">
      <c r="A32" s="35"/>
      <c r="C32" s="7"/>
      <c r="E32" s="94" t="s">
        <v>655</v>
      </c>
      <c r="F32" s="2">
        <f>Bankmutaties!B244-250</f>
        <v>10000</v>
      </c>
      <c r="G32" s="7"/>
    </row>
    <row r="33" spans="1:9" x14ac:dyDescent="0.3">
      <c r="A33" s="35" t="s">
        <v>652</v>
      </c>
      <c r="C33" s="7">
        <f>Bankmutaties!B233+Bankmutaties!B236</f>
        <v>1854</v>
      </c>
      <c r="E33" s="94" t="s">
        <v>656</v>
      </c>
      <c r="F33" s="2">
        <f>Bankmutaties!B245+Bankmutaties!B246-730</f>
        <v>30000</v>
      </c>
      <c r="G33" s="27"/>
    </row>
    <row r="34" spans="1:9" x14ac:dyDescent="0.3">
      <c r="C34" s="2"/>
      <c r="E34" s="3" t="s">
        <v>20</v>
      </c>
      <c r="G34" s="7">
        <f>SUM(F30:F33)</f>
        <v>56000</v>
      </c>
    </row>
    <row r="35" spans="1:9" x14ac:dyDescent="0.3">
      <c r="C35" s="20">
        <f>C12+C14+C18+C20+C24+C29+C31+C33</f>
        <v>168170.79</v>
      </c>
      <c r="E35" s="3"/>
      <c r="G35" s="7"/>
    </row>
    <row r="36" spans="1:9" x14ac:dyDescent="0.3">
      <c r="C36" s="2"/>
      <c r="E36" s="94" t="s">
        <v>342</v>
      </c>
      <c r="F36" s="2">
        <f>200</f>
        <v>200</v>
      </c>
      <c r="G36" s="7"/>
      <c r="H36" s="2"/>
      <c r="I36" s="7"/>
    </row>
    <row r="37" spans="1:9" x14ac:dyDescent="0.3">
      <c r="E37" s="94" t="s">
        <v>657</v>
      </c>
      <c r="F37" s="2">
        <f>165</f>
        <v>165</v>
      </c>
      <c r="G37" s="7"/>
    </row>
    <row r="38" spans="1:9" x14ac:dyDescent="0.3">
      <c r="E38" s="94" t="s">
        <v>658</v>
      </c>
      <c r="F38" s="2">
        <f>250</f>
        <v>250</v>
      </c>
      <c r="G38" s="7"/>
    </row>
    <row r="39" spans="1:9" x14ac:dyDescent="0.3">
      <c r="E39" s="94" t="s">
        <v>659</v>
      </c>
      <c r="F39" s="2">
        <f>730</f>
        <v>730</v>
      </c>
      <c r="G39" s="27"/>
    </row>
    <row r="40" spans="1:9" x14ac:dyDescent="0.3">
      <c r="E40" s="3" t="s">
        <v>21</v>
      </c>
      <c r="G40" s="7">
        <f>SUM(F36:F39)</f>
        <v>1345</v>
      </c>
    </row>
    <row r="41" spans="1:9" x14ac:dyDescent="0.3">
      <c r="E41" s="3"/>
      <c r="G41" s="7"/>
    </row>
    <row r="42" spans="1:9" x14ac:dyDescent="0.3">
      <c r="E42" s="108" t="s">
        <v>651</v>
      </c>
      <c r="G42" s="7">
        <f>Bankmutaties!B299</f>
        <v>54250</v>
      </c>
    </row>
    <row r="43" spans="1:9" x14ac:dyDescent="0.3">
      <c r="E43" s="3"/>
      <c r="G43" s="7"/>
    </row>
    <row r="44" spans="1:9" x14ac:dyDescent="0.3">
      <c r="G44" s="20">
        <f>G5+G7+G9+G20+G22+G24+G28+G34+G40+G42</f>
        <v>178379.68</v>
      </c>
    </row>
    <row r="46" spans="1:9" x14ac:dyDescent="0.3">
      <c r="B46"/>
    </row>
    <row r="47" spans="1:9" x14ac:dyDescent="0.3">
      <c r="B47"/>
    </row>
    <row r="51" spans="2:2" x14ac:dyDescent="0.3">
      <c r="B5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18E2-5154-4C55-8A05-CEFA83DE71CA}">
  <dimension ref="A1:I327"/>
  <sheetViews>
    <sheetView workbookViewId="0"/>
  </sheetViews>
  <sheetFormatPr defaultRowHeight="14.4" x14ac:dyDescent="0.3"/>
  <cols>
    <col min="1" max="1" width="12.77734375" style="82" customWidth="1"/>
    <col min="2" max="2" width="13.77734375" style="82" customWidth="1"/>
    <col min="3" max="3" width="10.77734375" style="84" customWidth="1"/>
    <col min="4" max="4" width="40.77734375" style="83" customWidth="1"/>
    <col min="5" max="5" width="33" style="83" hidden="1" customWidth="1"/>
    <col min="6" max="6" width="5.88671875" style="83" hidden="1" customWidth="1"/>
    <col min="7" max="7" width="70.77734375" style="83" customWidth="1"/>
    <col min="8" max="8" width="38.77734375" style="83" customWidth="1"/>
    <col min="9" max="16384" width="8.88671875" style="82"/>
  </cols>
  <sheetData>
    <row r="1" spans="1:9" x14ac:dyDescent="0.3">
      <c r="A1" s="85" t="s">
        <v>31</v>
      </c>
      <c r="B1" s="86" t="s">
        <v>32</v>
      </c>
      <c r="C1" s="87" t="s">
        <v>33</v>
      </c>
      <c r="D1" s="88" t="s">
        <v>34</v>
      </c>
      <c r="E1" s="89" t="s">
        <v>35</v>
      </c>
      <c r="F1" s="89" t="s">
        <v>36</v>
      </c>
      <c r="G1" s="88" t="s">
        <v>37</v>
      </c>
      <c r="H1" s="90" t="s">
        <v>240</v>
      </c>
      <c r="I1" s="91"/>
    </row>
    <row r="2" spans="1:9" x14ac:dyDescent="0.3">
      <c r="A2" s="92">
        <v>45177</v>
      </c>
      <c r="B2" s="93">
        <v>1500</v>
      </c>
      <c r="C2" s="82" t="s">
        <v>38</v>
      </c>
      <c r="D2" s="82" t="s">
        <v>57</v>
      </c>
      <c r="E2" s="82" t="s">
        <v>58</v>
      </c>
      <c r="F2" s="82" t="s">
        <v>39</v>
      </c>
      <c r="G2" s="83" t="s">
        <v>378</v>
      </c>
      <c r="H2" s="94" t="s">
        <v>379</v>
      </c>
      <c r="I2" s="91"/>
    </row>
    <row r="3" spans="1:9" x14ac:dyDescent="0.3">
      <c r="A3" s="92"/>
      <c r="B3" s="95">
        <f>SUM(B2)</f>
        <v>1500</v>
      </c>
      <c r="C3" s="82"/>
      <c r="D3" s="82"/>
      <c r="E3" s="82"/>
      <c r="F3" s="82"/>
      <c r="H3" s="94"/>
      <c r="I3" s="91"/>
    </row>
    <row r="4" spans="1:9" x14ac:dyDescent="0.3">
      <c r="A4" s="92"/>
      <c r="B4" s="96"/>
      <c r="C4" s="82"/>
      <c r="D4" s="82"/>
      <c r="E4" s="82"/>
      <c r="F4" s="82"/>
      <c r="H4" s="94"/>
      <c r="I4" s="91"/>
    </row>
    <row r="5" spans="1:9" x14ac:dyDescent="0.3">
      <c r="A5" s="92">
        <v>44931</v>
      </c>
      <c r="B5" s="97">
        <v>1000</v>
      </c>
      <c r="C5" s="82" t="s">
        <v>38</v>
      </c>
      <c r="D5" s="82" t="s">
        <v>57</v>
      </c>
      <c r="E5" s="82" t="s">
        <v>58</v>
      </c>
      <c r="F5" s="82" t="s">
        <v>39</v>
      </c>
      <c r="G5" s="83" t="s">
        <v>380</v>
      </c>
      <c r="H5" s="94" t="s">
        <v>381</v>
      </c>
      <c r="I5" s="91"/>
    </row>
    <row r="6" spans="1:9" x14ac:dyDescent="0.3">
      <c r="A6" s="92"/>
      <c r="B6" s="95">
        <f>SUM(B5)</f>
        <v>1000</v>
      </c>
      <c r="C6" s="82"/>
      <c r="D6" s="82"/>
      <c r="E6" s="82"/>
      <c r="F6" s="82"/>
      <c r="H6" s="94"/>
      <c r="I6" s="91"/>
    </row>
    <row r="7" spans="1:9" x14ac:dyDescent="0.3">
      <c r="A7" s="92"/>
      <c r="B7" s="96"/>
      <c r="C7" s="82"/>
      <c r="D7" s="82"/>
      <c r="E7" s="82"/>
      <c r="F7" s="82"/>
      <c r="H7" s="94"/>
      <c r="I7" s="91"/>
    </row>
    <row r="8" spans="1:9" x14ac:dyDescent="0.3">
      <c r="A8" s="92">
        <v>44931</v>
      </c>
      <c r="B8" s="96">
        <v>1800</v>
      </c>
      <c r="C8" s="82" t="s">
        <v>38</v>
      </c>
      <c r="D8" s="82" t="s">
        <v>57</v>
      </c>
      <c r="E8" s="82" t="s">
        <v>58</v>
      </c>
      <c r="F8" s="82" t="s">
        <v>39</v>
      </c>
      <c r="G8" s="83" t="s">
        <v>382</v>
      </c>
      <c r="H8" s="94" t="s">
        <v>341</v>
      </c>
      <c r="I8" s="91"/>
    </row>
    <row r="9" spans="1:9" x14ac:dyDescent="0.3">
      <c r="A9" s="92">
        <v>44978</v>
      </c>
      <c r="B9" s="96">
        <v>1150</v>
      </c>
      <c r="C9" s="82" t="s">
        <v>38</v>
      </c>
      <c r="D9" s="82" t="s">
        <v>57</v>
      </c>
      <c r="E9" s="82" t="s">
        <v>58</v>
      </c>
      <c r="F9" s="82" t="s">
        <v>39</v>
      </c>
      <c r="G9" s="83" t="s">
        <v>383</v>
      </c>
      <c r="H9" s="94" t="s">
        <v>341</v>
      </c>
      <c r="I9" s="91"/>
    </row>
    <row r="10" spans="1:9" x14ac:dyDescent="0.3">
      <c r="A10" s="92">
        <v>44978</v>
      </c>
      <c r="B10" s="96">
        <v>690</v>
      </c>
      <c r="C10" s="82" t="s">
        <v>38</v>
      </c>
      <c r="D10" s="82" t="s">
        <v>57</v>
      </c>
      <c r="E10" s="82" t="s">
        <v>58</v>
      </c>
      <c r="F10" s="82" t="s">
        <v>39</v>
      </c>
      <c r="G10" s="83" t="s">
        <v>384</v>
      </c>
      <c r="H10" s="94" t="s">
        <v>341</v>
      </c>
      <c r="I10" s="91"/>
    </row>
    <row r="11" spans="1:9" x14ac:dyDescent="0.3">
      <c r="A11" s="92">
        <v>44978</v>
      </c>
      <c r="B11" s="96">
        <v>44</v>
      </c>
      <c r="C11" s="82" t="s">
        <v>38</v>
      </c>
      <c r="D11" s="82" t="s">
        <v>137</v>
      </c>
      <c r="E11" s="82" t="s">
        <v>259</v>
      </c>
      <c r="F11" s="82" t="s">
        <v>39</v>
      </c>
      <c r="G11" s="83" t="s">
        <v>385</v>
      </c>
      <c r="H11" s="94" t="s">
        <v>341</v>
      </c>
      <c r="I11" s="91"/>
    </row>
    <row r="12" spans="1:9" x14ac:dyDescent="0.3">
      <c r="A12" s="92">
        <v>44993</v>
      </c>
      <c r="B12" s="96">
        <v>44</v>
      </c>
      <c r="C12" s="82" t="s">
        <v>38</v>
      </c>
      <c r="D12" s="82" t="s">
        <v>322</v>
      </c>
      <c r="E12" s="82" t="s">
        <v>386</v>
      </c>
      <c r="F12" s="82" t="s">
        <v>39</v>
      </c>
      <c r="G12" s="83" t="s">
        <v>387</v>
      </c>
      <c r="H12" s="94" t="s">
        <v>341</v>
      </c>
      <c r="I12" s="91"/>
    </row>
    <row r="13" spans="1:9" x14ac:dyDescent="0.3">
      <c r="A13" s="92">
        <v>45198</v>
      </c>
      <c r="B13" s="96">
        <v>396</v>
      </c>
      <c r="C13" s="82" t="s">
        <v>38</v>
      </c>
      <c r="D13" s="82" t="s">
        <v>388</v>
      </c>
      <c r="E13" s="82" t="s">
        <v>389</v>
      </c>
      <c r="F13" s="82" t="s">
        <v>39</v>
      </c>
      <c r="G13" s="83" t="s">
        <v>390</v>
      </c>
      <c r="H13" s="94" t="s">
        <v>341</v>
      </c>
      <c r="I13" s="91"/>
    </row>
    <row r="14" spans="1:9" x14ac:dyDescent="0.3">
      <c r="A14" s="92">
        <v>45240</v>
      </c>
      <c r="B14" s="96">
        <v>220</v>
      </c>
      <c r="C14" s="82" t="s">
        <v>38</v>
      </c>
      <c r="D14" s="82" t="s">
        <v>391</v>
      </c>
      <c r="E14" s="82" t="s">
        <v>392</v>
      </c>
      <c r="F14" s="82" t="s">
        <v>39</v>
      </c>
      <c r="G14" s="83" t="s">
        <v>393</v>
      </c>
      <c r="H14" s="94" t="s">
        <v>341</v>
      </c>
      <c r="I14" s="91"/>
    </row>
    <row r="15" spans="1:9" x14ac:dyDescent="0.3">
      <c r="A15" s="92">
        <v>45253</v>
      </c>
      <c r="B15" s="96">
        <v>425</v>
      </c>
      <c r="C15" s="82" t="s">
        <v>38</v>
      </c>
      <c r="D15" s="82" t="s">
        <v>134</v>
      </c>
      <c r="E15" s="82" t="s">
        <v>135</v>
      </c>
      <c r="F15" s="82" t="s">
        <v>39</v>
      </c>
      <c r="G15" s="83" t="s">
        <v>394</v>
      </c>
      <c r="H15" s="94" t="s">
        <v>341</v>
      </c>
      <c r="I15" s="91"/>
    </row>
    <row r="16" spans="1:9" x14ac:dyDescent="0.3">
      <c r="A16" s="92">
        <v>45262</v>
      </c>
      <c r="B16" s="96">
        <v>308</v>
      </c>
      <c r="C16" s="82" t="s">
        <v>38</v>
      </c>
      <c r="D16" s="82" t="s">
        <v>395</v>
      </c>
      <c r="E16" s="82" t="s">
        <v>396</v>
      </c>
      <c r="F16" s="82" t="s">
        <v>39</v>
      </c>
      <c r="G16" s="83" t="s">
        <v>397</v>
      </c>
      <c r="H16" s="94" t="s">
        <v>341</v>
      </c>
      <c r="I16" s="91"/>
    </row>
    <row r="17" spans="1:9" x14ac:dyDescent="0.3">
      <c r="A17" s="92">
        <v>45270</v>
      </c>
      <c r="B17" s="96">
        <v>10</v>
      </c>
      <c r="C17" s="82" t="s">
        <v>38</v>
      </c>
      <c r="D17" s="82" t="s">
        <v>129</v>
      </c>
      <c r="E17" s="82" t="s">
        <v>130</v>
      </c>
      <c r="F17" s="82" t="s">
        <v>39</v>
      </c>
      <c r="G17" s="83" t="s">
        <v>398</v>
      </c>
      <c r="H17" s="94" t="s">
        <v>341</v>
      </c>
      <c r="I17" s="91"/>
    </row>
    <row r="18" spans="1:9" x14ac:dyDescent="0.3">
      <c r="A18" s="92">
        <v>45271</v>
      </c>
      <c r="B18" s="96">
        <v>100</v>
      </c>
      <c r="C18" s="82" t="s">
        <v>38</v>
      </c>
      <c r="D18" s="82" t="s">
        <v>134</v>
      </c>
      <c r="E18" s="82" t="s">
        <v>135</v>
      </c>
      <c r="F18" s="82" t="s">
        <v>39</v>
      </c>
      <c r="G18" s="83" t="s">
        <v>394</v>
      </c>
      <c r="H18" s="94" t="s">
        <v>341</v>
      </c>
      <c r="I18" s="91"/>
    </row>
    <row r="19" spans="1:9" x14ac:dyDescent="0.3">
      <c r="A19" s="92">
        <v>45287</v>
      </c>
      <c r="B19" s="96">
        <v>396</v>
      </c>
      <c r="C19" s="82" t="s">
        <v>38</v>
      </c>
      <c r="D19" s="82" t="s">
        <v>399</v>
      </c>
      <c r="E19" s="82" t="s">
        <v>400</v>
      </c>
      <c r="F19" s="82" t="s">
        <v>39</v>
      </c>
      <c r="G19" s="83" t="s">
        <v>401</v>
      </c>
      <c r="H19" s="94" t="s">
        <v>341</v>
      </c>
      <c r="I19" s="91"/>
    </row>
    <row r="20" spans="1:9" x14ac:dyDescent="0.3">
      <c r="A20" s="92">
        <v>45288</v>
      </c>
      <c r="B20" s="96">
        <v>198</v>
      </c>
      <c r="C20" s="82" t="s">
        <v>38</v>
      </c>
      <c r="D20" s="82" t="s">
        <v>402</v>
      </c>
      <c r="E20" s="82" t="s">
        <v>403</v>
      </c>
      <c r="F20" s="82" t="s">
        <v>39</v>
      </c>
      <c r="G20" s="83" t="s">
        <v>404</v>
      </c>
      <c r="H20" s="94" t="s">
        <v>341</v>
      </c>
      <c r="I20" s="91"/>
    </row>
    <row r="21" spans="1:9" x14ac:dyDescent="0.3">
      <c r="A21" s="92">
        <v>45288</v>
      </c>
      <c r="B21" s="97">
        <v>198</v>
      </c>
      <c r="C21" s="82" t="s">
        <v>38</v>
      </c>
      <c r="D21" s="82" t="s">
        <v>405</v>
      </c>
      <c r="E21" s="82" t="s">
        <v>406</v>
      </c>
      <c r="F21" s="82" t="s">
        <v>39</v>
      </c>
      <c r="G21" s="83" t="s">
        <v>404</v>
      </c>
      <c r="H21" s="94" t="s">
        <v>341</v>
      </c>
      <c r="I21" s="91"/>
    </row>
    <row r="22" spans="1:9" x14ac:dyDescent="0.3">
      <c r="A22" s="92"/>
      <c r="B22" s="95">
        <f>SUM(B8:B21)</f>
        <v>5979</v>
      </c>
      <c r="C22" s="82"/>
      <c r="D22" s="82"/>
      <c r="E22" s="82"/>
      <c r="F22" s="82"/>
      <c r="H22" s="94"/>
      <c r="I22" s="91"/>
    </row>
    <row r="23" spans="1:9" x14ac:dyDescent="0.3">
      <c r="A23" s="92"/>
      <c r="B23" s="96"/>
      <c r="C23" s="82"/>
      <c r="D23" s="82"/>
      <c r="E23" s="82"/>
      <c r="F23" s="82"/>
      <c r="H23" s="94"/>
      <c r="I23" s="91"/>
    </row>
    <row r="24" spans="1:9" x14ac:dyDescent="0.3">
      <c r="A24" s="92">
        <v>45099</v>
      </c>
      <c r="B24" s="96">
        <v>50000</v>
      </c>
      <c r="C24" s="82" t="s">
        <v>38</v>
      </c>
      <c r="D24" s="82" t="s">
        <v>307</v>
      </c>
      <c r="E24" s="82" t="s">
        <v>407</v>
      </c>
      <c r="F24" s="82" t="s">
        <v>39</v>
      </c>
      <c r="G24" s="83" t="s">
        <v>408</v>
      </c>
      <c r="H24" s="107" t="s">
        <v>648</v>
      </c>
      <c r="I24" s="91" t="s">
        <v>409</v>
      </c>
    </row>
    <row r="25" spans="1:9" x14ac:dyDescent="0.3">
      <c r="A25" s="92">
        <v>45131</v>
      </c>
      <c r="B25" s="96">
        <v>2000</v>
      </c>
      <c r="C25" s="82" t="s">
        <v>38</v>
      </c>
      <c r="D25" s="82" t="s">
        <v>70</v>
      </c>
      <c r="E25" s="82" t="s">
        <v>241</v>
      </c>
      <c r="F25" s="82" t="s">
        <v>39</v>
      </c>
      <c r="G25" s="83" t="s">
        <v>410</v>
      </c>
      <c r="H25" s="107" t="s">
        <v>648</v>
      </c>
      <c r="I25" s="91" t="s">
        <v>409</v>
      </c>
    </row>
    <row r="26" spans="1:9" x14ac:dyDescent="0.3">
      <c r="A26" s="92">
        <v>44976</v>
      </c>
      <c r="B26" s="97">
        <v>2250</v>
      </c>
      <c r="C26" s="82" t="s">
        <v>38</v>
      </c>
      <c r="D26" s="82" t="s">
        <v>57</v>
      </c>
      <c r="E26" s="82" t="s">
        <v>58</v>
      </c>
      <c r="F26" s="82" t="s">
        <v>39</v>
      </c>
      <c r="G26" s="83" t="s">
        <v>650</v>
      </c>
      <c r="H26" s="82" t="s">
        <v>649</v>
      </c>
      <c r="I26" s="91" t="s">
        <v>411</v>
      </c>
    </row>
    <row r="27" spans="1:9" x14ac:dyDescent="0.3">
      <c r="A27" s="92"/>
      <c r="B27" s="95">
        <f>SUM(B24:B26)</f>
        <v>54250</v>
      </c>
      <c r="C27" s="82"/>
      <c r="D27" s="82"/>
      <c r="E27" s="82"/>
      <c r="F27" s="82"/>
      <c r="H27" s="82"/>
      <c r="I27" s="91"/>
    </row>
    <row r="28" spans="1:9" x14ac:dyDescent="0.3">
      <c r="A28" s="92"/>
      <c r="B28" s="96"/>
      <c r="C28" s="82"/>
      <c r="D28" s="82"/>
      <c r="E28" s="82"/>
      <c r="F28" s="82"/>
      <c r="H28" s="82"/>
      <c r="I28" s="91"/>
    </row>
    <row r="29" spans="1:9" x14ac:dyDescent="0.3">
      <c r="A29" s="92">
        <v>44928</v>
      </c>
      <c r="B29" s="96">
        <v>400</v>
      </c>
      <c r="C29" s="82" t="s">
        <v>38</v>
      </c>
      <c r="D29" s="82" t="s">
        <v>46</v>
      </c>
      <c r="E29" s="82" t="s">
        <v>43</v>
      </c>
      <c r="F29" s="82" t="s">
        <v>39</v>
      </c>
      <c r="G29" s="83" t="s">
        <v>44</v>
      </c>
      <c r="H29" s="94" t="s">
        <v>42</v>
      </c>
      <c r="I29" s="91"/>
    </row>
    <row r="30" spans="1:9" x14ac:dyDescent="0.3">
      <c r="A30" s="92">
        <v>44934</v>
      </c>
      <c r="B30" s="96">
        <v>50</v>
      </c>
      <c r="C30" s="82" t="s">
        <v>38</v>
      </c>
      <c r="D30" s="82" t="s">
        <v>149</v>
      </c>
      <c r="E30" s="82" t="s">
        <v>150</v>
      </c>
      <c r="F30" s="82" t="s">
        <v>39</v>
      </c>
      <c r="H30" s="94" t="s">
        <v>42</v>
      </c>
      <c r="I30" s="91"/>
    </row>
    <row r="31" spans="1:9" x14ac:dyDescent="0.3">
      <c r="A31" s="92">
        <v>44956</v>
      </c>
      <c r="B31" s="96">
        <v>100</v>
      </c>
      <c r="C31" s="82" t="s">
        <v>38</v>
      </c>
      <c r="D31" s="82" t="s">
        <v>52</v>
      </c>
      <c r="E31" s="82" t="s">
        <v>53</v>
      </c>
      <c r="F31" s="82" t="s">
        <v>39</v>
      </c>
      <c r="G31" s="83" t="s">
        <v>242</v>
      </c>
      <c r="H31" s="94" t="s">
        <v>42</v>
      </c>
      <c r="I31" s="91"/>
    </row>
    <row r="32" spans="1:9" x14ac:dyDescent="0.3">
      <c r="A32" s="92">
        <v>44976</v>
      </c>
      <c r="B32" s="96">
        <v>84</v>
      </c>
      <c r="C32" s="82" t="s">
        <v>38</v>
      </c>
      <c r="D32" s="82" t="s">
        <v>57</v>
      </c>
      <c r="E32" s="82" t="s">
        <v>58</v>
      </c>
      <c r="F32" s="82" t="s">
        <v>39</v>
      </c>
      <c r="G32" s="83" t="s">
        <v>412</v>
      </c>
      <c r="H32" s="94" t="s">
        <v>42</v>
      </c>
      <c r="I32" s="91"/>
    </row>
    <row r="33" spans="1:9" x14ac:dyDescent="0.3">
      <c r="A33" s="92">
        <v>44985</v>
      </c>
      <c r="B33" s="96">
        <v>100</v>
      </c>
      <c r="C33" s="82" t="s">
        <v>38</v>
      </c>
      <c r="D33" s="82" t="s">
        <v>52</v>
      </c>
      <c r="E33" s="82" t="s">
        <v>53</v>
      </c>
      <c r="F33" s="82" t="s">
        <v>39</v>
      </c>
      <c r="G33" s="83" t="s">
        <v>242</v>
      </c>
      <c r="H33" s="94" t="s">
        <v>42</v>
      </c>
      <c r="I33" s="91"/>
    </row>
    <row r="34" spans="1:9" x14ac:dyDescent="0.3">
      <c r="A34" s="92">
        <v>45013</v>
      </c>
      <c r="B34" s="96">
        <v>250</v>
      </c>
      <c r="C34" s="82" t="s">
        <v>38</v>
      </c>
      <c r="D34" s="82" t="s">
        <v>413</v>
      </c>
      <c r="E34" s="82" t="s">
        <v>414</v>
      </c>
      <c r="F34" s="82" t="s">
        <v>39</v>
      </c>
      <c r="G34" s="83" t="s">
        <v>415</v>
      </c>
      <c r="H34" s="94" t="s">
        <v>42</v>
      </c>
      <c r="I34" s="91"/>
    </row>
    <row r="35" spans="1:9" x14ac:dyDescent="0.3">
      <c r="A35" s="92">
        <v>45015</v>
      </c>
      <c r="B35" s="96">
        <v>100</v>
      </c>
      <c r="C35" s="82" t="s">
        <v>38</v>
      </c>
      <c r="D35" s="82" t="s">
        <v>52</v>
      </c>
      <c r="E35" s="82" t="s">
        <v>53</v>
      </c>
      <c r="F35" s="82" t="s">
        <v>39</v>
      </c>
      <c r="G35" s="83" t="s">
        <v>242</v>
      </c>
      <c r="H35" s="94" t="s">
        <v>42</v>
      </c>
      <c r="I35" s="91"/>
    </row>
    <row r="36" spans="1:9" x14ac:dyDescent="0.3">
      <c r="A36" s="92">
        <v>45019</v>
      </c>
      <c r="B36" s="96">
        <v>400</v>
      </c>
      <c r="C36" s="82" t="s">
        <v>38</v>
      </c>
      <c r="D36" s="82" t="s">
        <v>46</v>
      </c>
      <c r="E36" s="82" t="s">
        <v>43</v>
      </c>
      <c r="F36" s="82" t="s">
        <v>39</v>
      </c>
      <c r="G36" s="83" t="s">
        <v>44</v>
      </c>
      <c r="H36" s="94" t="s">
        <v>42</v>
      </c>
      <c r="I36" s="91"/>
    </row>
    <row r="37" spans="1:9" x14ac:dyDescent="0.3">
      <c r="A37" s="92">
        <v>45048</v>
      </c>
      <c r="B37" s="96">
        <v>100</v>
      </c>
      <c r="C37" s="82" t="s">
        <v>38</v>
      </c>
      <c r="D37" s="82" t="s">
        <v>52</v>
      </c>
      <c r="E37" s="82" t="s">
        <v>53</v>
      </c>
      <c r="F37" s="82" t="s">
        <v>39</v>
      </c>
      <c r="G37" s="83" t="s">
        <v>242</v>
      </c>
      <c r="H37" s="94" t="s">
        <v>42</v>
      </c>
      <c r="I37" s="91"/>
    </row>
    <row r="38" spans="1:9" x14ac:dyDescent="0.3">
      <c r="A38" s="92">
        <v>45076</v>
      </c>
      <c r="B38" s="96">
        <v>100</v>
      </c>
      <c r="C38" s="82" t="s">
        <v>38</v>
      </c>
      <c r="D38" s="82" t="s">
        <v>52</v>
      </c>
      <c r="E38" s="82" t="s">
        <v>53</v>
      </c>
      <c r="F38" s="82" t="s">
        <v>39</v>
      </c>
      <c r="G38" s="83" t="s">
        <v>242</v>
      </c>
      <c r="H38" s="94" t="s">
        <v>42</v>
      </c>
      <c r="I38" s="91"/>
    </row>
    <row r="39" spans="1:9" x14ac:dyDescent="0.3">
      <c r="A39" s="92">
        <v>45077</v>
      </c>
      <c r="B39" s="96">
        <v>100</v>
      </c>
      <c r="C39" s="82" t="s">
        <v>38</v>
      </c>
      <c r="D39" s="82" t="s">
        <v>416</v>
      </c>
      <c r="E39" s="82" t="s">
        <v>417</v>
      </c>
      <c r="F39" s="82" t="s">
        <v>39</v>
      </c>
      <c r="H39" s="94" t="s">
        <v>42</v>
      </c>
      <c r="I39" s="91"/>
    </row>
    <row r="40" spans="1:9" x14ac:dyDescent="0.3">
      <c r="A40" s="92">
        <v>45077</v>
      </c>
      <c r="B40" s="96">
        <v>50</v>
      </c>
      <c r="C40" s="82" t="s">
        <v>38</v>
      </c>
      <c r="D40" s="82" t="s">
        <v>149</v>
      </c>
      <c r="E40" s="82" t="s">
        <v>150</v>
      </c>
      <c r="F40" s="82" t="s">
        <v>39</v>
      </c>
      <c r="H40" s="94" t="s">
        <v>42</v>
      </c>
      <c r="I40" s="91"/>
    </row>
    <row r="41" spans="1:9" x14ac:dyDescent="0.3">
      <c r="A41" s="92">
        <v>45089</v>
      </c>
      <c r="B41" s="96">
        <v>97.1</v>
      </c>
      <c r="C41" s="82" t="s">
        <v>38</v>
      </c>
      <c r="D41" s="82" t="s">
        <v>418</v>
      </c>
      <c r="E41" s="82" t="s">
        <v>419</v>
      </c>
      <c r="F41" s="82" t="s">
        <v>39</v>
      </c>
      <c r="G41" s="83" t="s">
        <v>420</v>
      </c>
      <c r="H41" s="82" t="s">
        <v>42</v>
      </c>
      <c r="I41" s="91"/>
    </row>
    <row r="42" spans="1:9" x14ac:dyDescent="0.3">
      <c r="A42" s="92">
        <v>45107</v>
      </c>
      <c r="B42" s="96">
        <v>100</v>
      </c>
      <c r="C42" s="82" t="s">
        <v>38</v>
      </c>
      <c r="D42" s="82" t="s">
        <v>52</v>
      </c>
      <c r="E42" s="82" t="s">
        <v>53</v>
      </c>
      <c r="F42" s="82" t="s">
        <v>39</v>
      </c>
      <c r="G42" s="83" t="s">
        <v>242</v>
      </c>
      <c r="H42" s="94" t="s">
        <v>42</v>
      </c>
      <c r="I42" s="91"/>
    </row>
    <row r="43" spans="1:9" x14ac:dyDescent="0.3">
      <c r="A43" s="92">
        <v>45110</v>
      </c>
      <c r="B43" s="96">
        <v>400</v>
      </c>
      <c r="C43" s="82" t="s">
        <v>38</v>
      </c>
      <c r="D43" s="82" t="s">
        <v>46</v>
      </c>
      <c r="E43" s="82" t="s">
        <v>43</v>
      </c>
      <c r="F43" s="82" t="s">
        <v>39</v>
      </c>
      <c r="G43" s="83" t="s">
        <v>44</v>
      </c>
      <c r="H43" s="94" t="s">
        <v>42</v>
      </c>
      <c r="I43" s="91"/>
    </row>
    <row r="44" spans="1:9" x14ac:dyDescent="0.3">
      <c r="A44" s="92">
        <v>45126</v>
      </c>
      <c r="B44" s="96">
        <v>150</v>
      </c>
      <c r="C44" s="82" t="s">
        <v>38</v>
      </c>
      <c r="D44" s="82" t="s">
        <v>421</v>
      </c>
      <c r="E44" s="82" t="s">
        <v>65</v>
      </c>
      <c r="F44" s="82" t="s">
        <v>39</v>
      </c>
      <c r="G44" s="83" t="s">
        <v>422</v>
      </c>
      <c r="H44" s="94" t="s">
        <v>42</v>
      </c>
      <c r="I44" s="91"/>
    </row>
    <row r="45" spans="1:9" x14ac:dyDescent="0.3">
      <c r="A45" s="92">
        <v>45138</v>
      </c>
      <c r="B45" s="96">
        <v>100</v>
      </c>
      <c r="C45" s="82" t="s">
        <v>38</v>
      </c>
      <c r="D45" s="82" t="s">
        <v>52</v>
      </c>
      <c r="E45" s="82" t="s">
        <v>53</v>
      </c>
      <c r="F45" s="82" t="s">
        <v>39</v>
      </c>
      <c r="G45" s="83" t="s">
        <v>242</v>
      </c>
      <c r="H45" s="94" t="s">
        <v>42</v>
      </c>
      <c r="I45" s="91"/>
    </row>
    <row r="46" spans="1:9" x14ac:dyDescent="0.3">
      <c r="A46" s="92">
        <v>45141</v>
      </c>
      <c r="B46" s="96">
        <v>50</v>
      </c>
      <c r="C46" s="82" t="s">
        <v>38</v>
      </c>
      <c r="D46" s="82" t="s">
        <v>48</v>
      </c>
      <c r="E46" s="82" t="s">
        <v>49</v>
      </c>
      <c r="F46" s="82" t="s">
        <v>39</v>
      </c>
      <c r="G46" s="83" t="s">
        <v>423</v>
      </c>
      <c r="H46" s="94" t="s">
        <v>42</v>
      </c>
      <c r="I46" s="91"/>
    </row>
    <row r="47" spans="1:9" x14ac:dyDescent="0.3">
      <c r="A47" s="92">
        <v>45143</v>
      </c>
      <c r="B47" s="96">
        <v>250</v>
      </c>
      <c r="C47" s="82" t="s">
        <v>38</v>
      </c>
      <c r="D47" s="82" t="s">
        <v>262</v>
      </c>
      <c r="E47" s="82" t="s">
        <v>263</v>
      </c>
      <c r="F47" s="82" t="s">
        <v>39</v>
      </c>
      <c r="G47" s="83" t="s">
        <v>424</v>
      </c>
      <c r="H47" s="94" t="s">
        <v>42</v>
      </c>
      <c r="I47" s="91"/>
    </row>
    <row r="48" spans="1:9" x14ac:dyDescent="0.3">
      <c r="A48" s="92">
        <v>45147</v>
      </c>
      <c r="B48" s="96">
        <v>100</v>
      </c>
      <c r="C48" s="82" t="s">
        <v>38</v>
      </c>
      <c r="D48" s="82" t="s">
        <v>151</v>
      </c>
      <c r="E48" s="82" t="s">
        <v>152</v>
      </c>
      <c r="F48" s="82" t="s">
        <v>39</v>
      </c>
      <c r="G48" s="83" t="s">
        <v>425</v>
      </c>
      <c r="H48" s="94" t="s">
        <v>42</v>
      </c>
      <c r="I48" s="91"/>
    </row>
    <row r="49" spans="1:9" x14ac:dyDescent="0.3">
      <c r="A49" s="92">
        <v>45168</v>
      </c>
      <c r="B49" s="96">
        <v>100</v>
      </c>
      <c r="C49" s="82" t="s">
        <v>38</v>
      </c>
      <c r="D49" s="82" t="s">
        <v>52</v>
      </c>
      <c r="E49" s="82" t="s">
        <v>53</v>
      </c>
      <c r="F49" s="82" t="s">
        <v>39</v>
      </c>
      <c r="G49" s="83" t="s">
        <v>242</v>
      </c>
      <c r="H49" s="94" t="s">
        <v>42</v>
      </c>
      <c r="I49" s="91"/>
    </row>
    <row r="50" spans="1:9" x14ac:dyDescent="0.3">
      <c r="A50" s="92">
        <v>45170</v>
      </c>
      <c r="B50" s="96">
        <v>8.8800000000000008</v>
      </c>
      <c r="C50" s="82" t="s">
        <v>38</v>
      </c>
      <c r="D50" s="82" t="s">
        <v>243</v>
      </c>
      <c r="E50" s="82" t="s">
        <v>244</v>
      </c>
      <c r="F50" s="82" t="s">
        <v>39</v>
      </c>
      <c r="G50" s="83" t="s">
        <v>426</v>
      </c>
      <c r="H50" s="94" t="s">
        <v>42</v>
      </c>
      <c r="I50" s="91"/>
    </row>
    <row r="51" spans="1:9" x14ac:dyDescent="0.3">
      <c r="A51" s="92">
        <v>45200</v>
      </c>
      <c r="B51" s="96">
        <v>100</v>
      </c>
      <c r="C51" s="82" t="s">
        <v>38</v>
      </c>
      <c r="D51" s="82" t="s">
        <v>427</v>
      </c>
      <c r="E51" s="82" t="s">
        <v>45</v>
      </c>
      <c r="F51" s="82" t="s">
        <v>39</v>
      </c>
      <c r="G51" s="83" t="s">
        <v>428</v>
      </c>
      <c r="H51" s="94" t="s">
        <v>42</v>
      </c>
      <c r="I51" s="91"/>
    </row>
    <row r="52" spans="1:9" x14ac:dyDescent="0.3">
      <c r="A52" s="92">
        <v>45201</v>
      </c>
      <c r="B52" s="96">
        <v>400</v>
      </c>
      <c r="C52" s="82" t="s">
        <v>38</v>
      </c>
      <c r="D52" s="82" t="s">
        <v>46</v>
      </c>
      <c r="E52" s="82" t="s">
        <v>43</v>
      </c>
      <c r="F52" s="82" t="s">
        <v>39</v>
      </c>
      <c r="G52" s="83" t="s">
        <v>44</v>
      </c>
      <c r="H52" s="94" t="s">
        <v>42</v>
      </c>
      <c r="I52" s="91"/>
    </row>
    <row r="53" spans="1:9" x14ac:dyDescent="0.3">
      <c r="A53" s="92">
        <v>45201</v>
      </c>
      <c r="B53" s="96">
        <v>100</v>
      </c>
      <c r="C53" s="82" t="s">
        <v>38</v>
      </c>
      <c r="D53" s="82" t="s">
        <v>52</v>
      </c>
      <c r="E53" s="82" t="s">
        <v>53</v>
      </c>
      <c r="F53" s="82" t="s">
        <v>39</v>
      </c>
      <c r="G53" s="83" t="s">
        <v>242</v>
      </c>
      <c r="H53" s="94" t="s">
        <v>42</v>
      </c>
      <c r="I53" s="91"/>
    </row>
    <row r="54" spans="1:9" x14ac:dyDescent="0.3">
      <c r="A54" s="92">
        <v>45203</v>
      </c>
      <c r="B54" s="96">
        <v>74</v>
      </c>
      <c r="C54" s="82" t="s">
        <v>38</v>
      </c>
      <c r="D54" s="82" t="s">
        <v>243</v>
      </c>
      <c r="E54" s="82" t="s">
        <v>244</v>
      </c>
      <c r="F54" s="82" t="s">
        <v>39</v>
      </c>
      <c r="G54" s="83" t="s">
        <v>429</v>
      </c>
      <c r="H54" s="94" t="s">
        <v>42</v>
      </c>
      <c r="I54" s="91"/>
    </row>
    <row r="55" spans="1:9" x14ac:dyDescent="0.3">
      <c r="A55" s="92">
        <v>45229</v>
      </c>
      <c r="B55" s="96">
        <v>100</v>
      </c>
      <c r="C55" s="82" t="s">
        <v>38</v>
      </c>
      <c r="D55" s="82" t="s">
        <v>52</v>
      </c>
      <c r="E55" s="82" t="s">
        <v>53</v>
      </c>
      <c r="F55" s="82" t="s">
        <v>39</v>
      </c>
      <c r="G55" s="83" t="s">
        <v>242</v>
      </c>
      <c r="H55" s="94" t="s">
        <v>42</v>
      </c>
      <c r="I55" s="91"/>
    </row>
    <row r="56" spans="1:9" x14ac:dyDescent="0.3">
      <c r="A56" s="92">
        <v>45233</v>
      </c>
      <c r="B56" s="96">
        <v>4.59</v>
      </c>
      <c r="C56" s="82" t="s">
        <v>38</v>
      </c>
      <c r="D56" s="82" t="s">
        <v>243</v>
      </c>
      <c r="E56" s="82" t="s">
        <v>244</v>
      </c>
      <c r="F56" s="82" t="s">
        <v>39</v>
      </c>
      <c r="G56" s="83" t="s">
        <v>430</v>
      </c>
      <c r="H56" s="82" t="s">
        <v>42</v>
      </c>
      <c r="I56" s="91"/>
    </row>
    <row r="57" spans="1:9" x14ac:dyDescent="0.3">
      <c r="A57" s="92">
        <v>45243</v>
      </c>
      <c r="B57" s="96">
        <v>200</v>
      </c>
      <c r="C57" s="82" t="s">
        <v>38</v>
      </c>
      <c r="D57" s="82" t="s">
        <v>257</v>
      </c>
      <c r="E57" s="82" t="s">
        <v>258</v>
      </c>
      <c r="F57" s="82" t="s">
        <v>39</v>
      </c>
      <c r="G57" s="83" t="s">
        <v>431</v>
      </c>
      <c r="H57" s="94" t="s">
        <v>42</v>
      </c>
      <c r="I57" s="91"/>
    </row>
    <row r="58" spans="1:9" x14ac:dyDescent="0.3">
      <c r="A58" s="92">
        <v>45260</v>
      </c>
      <c r="B58" s="96">
        <v>100</v>
      </c>
      <c r="C58" s="82" t="s">
        <v>38</v>
      </c>
      <c r="D58" s="82" t="s">
        <v>52</v>
      </c>
      <c r="E58" s="82" t="s">
        <v>53</v>
      </c>
      <c r="F58" s="82" t="s">
        <v>39</v>
      </c>
      <c r="G58" s="83" t="s">
        <v>242</v>
      </c>
      <c r="H58" s="94" t="s">
        <v>42</v>
      </c>
      <c r="I58" s="91"/>
    </row>
    <row r="59" spans="1:9" x14ac:dyDescent="0.3">
      <c r="A59" s="92">
        <v>45262</v>
      </c>
      <c r="B59" s="96">
        <v>70</v>
      </c>
      <c r="C59" s="82" t="s">
        <v>38</v>
      </c>
      <c r="D59" s="82" t="s">
        <v>78</v>
      </c>
      <c r="E59" s="82" t="s">
        <v>79</v>
      </c>
      <c r="F59" s="82" t="s">
        <v>39</v>
      </c>
      <c r="G59" s="83" t="s">
        <v>432</v>
      </c>
      <c r="H59" s="94" t="s">
        <v>42</v>
      </c>
      <c r="I59" s="91"/>
    </row>
    <row r="60" spans="1:9" x14ac:dyDescent="0.3">
      <c r="A60" s="92">
        <v>45262</v>
      </c>
      <c r="B60" s="96">
        <v>30</v>
      </c>
      <c r="C60" s="82" t="s">
        <v>38</v>
      </c>
      <c r="D60" s="82" t="s">
        <v>433</v>
      </c>
      <c r="E60" s="82" t="s">
        <v>434</v>
      </c>
      <c r="F60" s="82" t="s">
        <v>39</v>
      </c>
      <c r="H60" s="94" t="s">
        <v>42</v>
      </c>
      <c r="I60" s="91"/>
    </row>
    <row r="61" spans="1:9" x14ac:dyDescent="0.3">
      <c r="A61" s="92">
        <v>45279</v>
      </c>
      <c r="B61" s="96">
        <v>1000</v>
      </c>
      <c r="C61" s="82" t="s">
        <v>38</v>
      </c>
      <c r="D61" s="82" t="s">
        <v>435</v>
      </c>
      <c r="E61" s="82" t="s">
        <v>436</v>
      </c>
      <c r="F61" s="82" t="s">
        <v>39</v>
      </c>
      <c r="G61" s="83" t="s">
        <v>437</v>
      </c>
      <c r="H61" s="94" t="s">
        <v>42</v>
      </c>
      <c r="I61" s="91"/>
    </row>
    <row r="62" spans="1:9" x14ac:dyDescent="0.3">
      <c r="A62" s="92">
        <v>45279</v>
      </c>
      <c r="B62" s="97">
        <v>250</v>
      </c>
      <c r="C62" s="82" t="s">
        <v>38</v>
      </c>
      <c r="D62" s="82" t="s">
        <v>291</v>
      </c>
      <c r="E62" s="82" t="s">
        <v>292</v>
      </c>
      <c r="F62" s="82" t="s">
        <v>39</v>
      </c>
      <c r="G62" s="83" t="s">
        <v>432</v>
      </c>
      <c r="H62" s="94" t="s">
        <v>42</v>
      </c>
      <c r="I62" s="91"/>
    </row>
    <row r="63" spans="1:9" x14ac:dyDescent="0.3">
      <c r="A63" s="92"/>
      <c r="B63" s="95">
        <f>SUM(B29:B62)</f>
        <v>5618.57</v>
      </c>
      <c r="C63" s="82"/>
      <c r="D63" s="82"/>
      <c r="E63" s="82"/>
      <c r="F63" s="82"/>
      <c r="H63" s="94"/>
      <c r="I63" s="91"/>
    </row>
    <row r="64" spans="1:9" x14ac:dyDescent="0.3">
      <c r="A64" s="92"/>
      <c r="B64" s="96"/>
      <c r="C64" s="82"/>
      <c r="D64" s="82"/>
      <c r="E64" s="82"/>
      <c r="F64" s="82"/>
      <c r="H64" s="94"/>
      <c r="I64" s="91"/>
    </row>
    <row r="65" spans="1:9" x14ac:dyDescent="0.3">
      <c r="A65" s="92">
        <v>44965</v>
      </c>
      <c r="B65" s="97">
        <v>100</v>
      </c>
      <c r="C65" s="82" t="s">
        <v>38</v>
      </c>
      <c r="D65" s="82" t="s">
        <v>438</v>
      </c>
      <c r="E65" s="82" t="s">
        <v>439</v>
      </c>
      <c r="F65" s="82" t="s">
        <v>39</v>
      </c>
      <c r="G65" s="83" t="s">
        <v>432</v>
      </c>
      <c r="H65" s="94" t="s">
        <v>440</v>
      </c>
      <c r="I65" s="91"/>
    </row>
    <row r="66" spans="1:9" x14ac:dyDescent="0.3">
      <c r="A66" s="92"/>
      <c r="B66" s="95">
        <f>SUM(B65)</f>
        <v>100</v>
      </c>
      <c r="C66" s="82"/>
      <c r="D66" s="82"/>
      <c r="E66" s="82"/>
      <c r="F66" s="82"/>
      <c r="H66" s="94"/>
      <c r="I66" s="91"/>
    </row>
    <row r="67" spans="1:9" x14ac:dyDescent="0.3">
      <c r="A67" s="92"/>
      <c r="B67" s="96"/>
      <c r="C67" s="82"/>
      <c r="D67" s="82"/>
      <c r="E67" s="82"/>
      <c r="F67" s="82"/>
      <c r="H67" s="94"/>
      <c r="I67" s="91"/>
    </row>
    <row r="68" spans="1:9" x14ac:dyDescent="0.3">
      <c r="A68" s="92">
        <v>45109</v>
      </c>
      <c r="B68" s="96">
        <v>50</v>
      </c>
      <c r="C68" s="82" t="s">
        <v>38</v>
      </c>
      <c r="D68" s="82" t="s">
        <v>441</v>
      </c>
      <c r="E68" s="82" t="s">
        <v>442</v>
      </c>
      <c r="F68" s="82" t="s">
        <v>39</v>
      </c>
      <c r="G68" s="83" t="s">
        <v>443</v>
      </c>
      <c r="H68" s="94" t="s">
        <v>444</v>
      </c>
      <c r="I68" s="91"/>
    </row>
    <row r="69" spans="1:9" x14ac:dyDescent="0.3">
      <c r="A69" s="92">
        <v>45109</v>
      </c>
      <c r="B69" s="96">
        <v>25</v>
      </c>
      <c r="C69" s="82" t="s">
        <v>38</v>
      </c>
      <c r="D69" s="82" t="s">
        <v>72</v>
      </c>
      <c r="E69" s="82" t="s">
        <v>73</v>
      </c>
      <c r="F69" s="82" t="s">
        <v>39</v>
      </c>
      <c r="G69" s="83" t="s">
        <v>443</v>
      </c>
      <c r="H69" s="94" t="s">
        <v>444</v>
      </c>
      <c r="I69" s="91"/>
    </row>
    <row r="70" spans="1:9" x14ac:dyDescent="0.3">
      <c r="A70" s="92">
        <v>45109</v>
      </c>
      <c r="B70" s="96">
        <v>50</v>
      </c>
      <c r="C70" s="82" t="s">
        <v>38</v>
      </c>
      <c r="D70" s="82" t="s">
        <v>68</v>
      </c>
      <c r="E70" s="82" t="s">
        <v>69</v>
      </c>
      <c r="F70" s="82" t="s">
        <v>39</v>
      </c>
      <c r="G70" s="83" t="s">
        <v>445</v>
      </c>
      <c r="H70" s="94" t="s">
        <v>444</v>
      </c>
      <c r="I70" s="91"/>
    </row>
    <row r="71" spans="1:9" x14ac:dyDescent="0.3">
      <c r="A71" s="92">
        <v>45109</v>
      </c>
      <c r="B71" s="96">
        <v>50</v>
      </c>
      <c r="C71" s="82" t="s">
        <v>38</v>
      </c>
      <c r="D71" s="82" t="s">
        <v>427</v>
      </c>
      <c r="E71" s="82" t="s">
        <v>45</v>
      </c>
      <c r="F71" s="82" t="s">
        <v>39</v>
      </c>
      <c r="G71" s="83" t="s">
        <v>443</v>
      </c>
      <c r="H71" s="94" t="s">
        <v>444</v>
      </c>
      <c r="I71" s="91"/>
    </row>
    <row r="72" spans="1:9" x14ac:dyDescent="0.3">
      <c r="A72" s="92">
        <v>45109</v>
      </c>
      <c r="B72" s="96">
        <v>25</v>
      </c>
      <c r="C72" s="82" t="s">
        <v>38</v>
      </c>
      <c r="D72" s="82" t="s">
        <v>87</v>
      </c>
      <c r="E72" s="82" t="s">
        <v>446</v>
      </c>
      <c r="F72" s="82" t="s">
        <v>39</v>
      </c>
      <c r="G72" s="83" t="s">
        <v>443</v>
      </c>
      <c r="H72" s="94" t="s">
        <v>444</v>
      </c>
      <c r="I72" s="91"/>
    </row>
    <row r="73" spans="1:9" x14ac:dyDescent="0.3">
      <c r="A73" s="92">
        <v>45111</v>
      </c>
      <c r="B73" s="97">
        <v>50</v>
      </c>
      <c r="C73" s="82" t="s">
        <v>38</v>
      </c>
      <c r="D73" s="82" t="s">
        <v>82</v>
      </c>
      <c r="E73" s="82" t="s">
        <v>83</v>
      </c>
      <c r="F73" s="82" t="s">
        <v>39</v>
      </c>
      <c r="G73" s="83" t="s">
        <v>443</v>
      </c>
      <c r="H73" s="94" t="s">
        <v>444</v>
      </c>
      <c r="I73" s="91"/>
    </row>
    <row r="74" spans="1:9" x14ac:dyDescent="0.3">
      <c r="A74" s="92"/>
      <c r="B74" s="95">
        <f>SUM(B68:B73)</f>
        <v>250</v>
      </c>
      <c r="C74" s="82"/>
      <c r="D74" s="82"/>
      <c r="E74" s="82"/>
      <c r="F74" s="82"/>
      <c r="H74" s="94"/>
      <c r="I74" s="91"/>
    </row>
    <row r="75" spans="1:9" x14ac:dyDescent="0.3">
      <c r="A75" s="92"/>
      <c r="B75" s="96"/>
      <c r="C75" s="82"/>
      <c r="D75" s="82"/>
      <c r="E75" s="82"/>
      <c r="F75" s="82"/>
      <c r="H75" s="94"/>
      <c r="I75" s="91"/>
    </row>
    <row r="76" spans="1:9" x14ac:dyDescent="0.3">
      <c r="A76" s="92">
        <v>45106</v>
      </c>
      <c r="B76" s="96">
        <v>1500</v>
      </c>
      <c r="C76" s="82" t="s">
        <v>38</v>
      </c>
      <c r="D76" s="82" t="s">
        <v>447</v>
      </c>
      <c r="E76" s="82" t="s">
        <v>448</v>
      </c>
      <c r="F76" s="82" t="s">
        <v>39</v>
      </c>
      <c r="G76" s="83" t="s">
        <v>449</v>
      </c>
      <c r="H76" s="82" t="s">
        <v>450</v>
      </c>
      <c r="I76" s="91" t="s">
        <v>451</v>
      </c>
    </row>
    <row r="77" spans="1:9" x14ac:dyDescent="0.3">
      <c r="A77" s="92">
        <v>45211</v>
      </c>
      <c r="B77" s="96">
        <v>7250</v>
      </c>
      <c r="C77" s="82" t="s">
        <v>38</v>
      </c>
      <c r="D77" s="82" t="s">
        <v>63</v>
      </c>
      <c r="E77" s="82" t="s">
        <v>64</v>
      </c>
      <c r="F77" s="82" t="s">
        <v>39</v>
      </c>
      <c r="G77" s="83" t="s">
        <v>452</v>
      </c>
      <c r="H77" s="82" t="s">
        <v>450</v>
      </c>
      <c r="I77" s="91" t="s">
        <v>451</v>
      </c>
    </row>
    <row r="78" spans="1:9" x14ac:dyDescent="0.3">
      <c r="A78" s="92">
        <v>45234</v>
      </c>
      <c r="B78" s="97">
        <v>5000</v>
      </c>
      <c r="C78" s="82" t="s">
        <v>38</v>
      </c>
      <c r="D78" s="82" t="s">
        <v>247</v>
      </c>
      <c r="E78" s="82" t="s">
        <v>248</v>
      </c>
      <c r="F78" s="82" t="s">
        <v>39</v>
      </c>
      <c r="G78" s="83" t="s">
        <v>453</v>
      </c>
      <c r="H78" s="82" t="s">
        <v>450</v>
      </c>
      <c r="I78" s="91" t="s">
        <v>451</v>
      </c>
    </row>
    <row r="79" spans="1:9" x14ac:dyDescent="0.3">
      <c r="A79" s="92"/>
      <c r="B79" s="95">
        <f>SUM(B76:B78)</f>
        <v>13750</v>
      </c>
      <c r="C79" s="82"/>
      <c r="D79" s="82"/>
      <c r="E79" s="82"/>
      <c r="F79" s="82"/>
      <c r="H79" s="82"/>
      <c r="I79" s="91"/>
    </row>
    <row r="80" spans="1:9" x14ac:dyDescent="0.3">
      <c r="A80" s="92"/>
      <c r="B80" s="96"/>
      <c r="C80" s="82"/>
      <c r="D80" s="82"/>
      <c r="E80" s="82"/>
      <c r="F80" s="82"/>
      <c r="H80" s="82"/>
      <c r="I80" s="91"/>
    </row>
    <row r="81" spans="1:9" x14ac:dyDescent="0.3">
      <c r="A81" s="92">
        <v>45006</v>
      </c>
      <c r="B81" s="96">
        <v>100</v>
      </c>
      <c r="C81" s="82" t="s">
        <v>38</v>
      </c>
      <c r="D81" s="82" t="s">
        <v>245</v>
      </c>
      <c r="E81" s="82" t="s">
        <v>246</v>
      </c>
      <c r="F81" s="82" t="s">
        <v>39</v>
      </c>
      <c r="G81" s="83" t="s">
        <v>454</v>
      </c>
      <c r="H81" s="94" t="s">
        <v>455</v>
      </c>
      <c r="I81" s="91"/>
    </row>
    <row r="82" spans="1:9" x14ac:dyDescent="0.3">
      <c r="A82" s="92">
        <v>45008</v>
      </c>
      <c r="B82" s="96">
        <v>270</v>
      </c>
      <c r="C82" s="82" t="s">
        <v>38</v>
      </c>
      <c r="D82" s="82" t="s">
        <v>456</v>
      </c>
      <c r="E82" s="82" t="s">
        <v>457</v>
      </c>
      <c r="F82" s="82" t="s">
        <v>39</v>
      </c>
      <c r="G82" s="83" t="s">
        <v>458</v>
      </c>
      <c r="H82" s="94" t="s">
        <v>455</v>
      </c>
      <c r="I82" s="91"/>
    </row>
    <row r="83" spans="1:9" x14ac:dyDescent="0.3">
      <c r="A83" s="92">
        <v>45009</v>
      </c>
      <c r="B83" s="96">
        <v>50</v>
      </c>
      <c r="C83" s="82" t="s">
        <v>38</v>
      </c>
      <c r="D83" s="82" t="s">
        <v>459</v>
      </c>
      <c r="E83" s="82" t="s">
        <v>460</v>
      </c>
      <c r="F83" s="82" t="s">
        <v>39</v>
      </c>
      <c r="G83" s="83" t="s">
        <v>461</v>
      </c>
      <c r="H83" s="94" t="s">
        <v>455</v>
      </c>
      <c r="I83" s="91"/>
    </row>
    <row r="84" spans="1:9" x14ac:dyDescent="0.3">
      <c r="A84" s="92">
        <v>45010</v>
      </c>
      <c r="B84" s="96">
        <v>540</v>
      </c>
      <c r="C84" s="82" t="s">
        <v>38</v>
      </c>
      <c r="D84" s="82" t="s">
        <v>57</v>
      </c>
      <c r="E84" s="82" t="s">
        <v>58</v>
      </c>
      <c r="F84" s="82" t="s">
        <v>39</v>
      </c>
      <c r="G84" s="83" t="s">
        <v>462</v>
      </c>
      <c r="H84" s="94" t="s">
        <v>455</v>
      </c>
      <c r="I84" s="91"/>
    </row>
    <row r="85" spans="1:9" x14ac:dyDescent="0.3">
      <c r="A85" s="92">
        <v>45015</v>
      </c>
      <c r="B85" s="96">
        <v>10</v>
      </c>
      <c r="C85" s="82" t="s">
        <v>38</v>
      </c>
      <c r="D85" s="82" t="s">
        <v>283</v>
      </c>
      <c r="E85" s="82" t="s">
        <v>284</v>
      </c>
      <c r="F85" s="82" t="s">
        <v>39</v>
      </c>
      <c r="G85" s="83" t="s">
        <v>454</v>
      </c>
      <c r="H85" s="94" t="s">
        <v>455</v>
      </c>
      <c r="I85" s="91"/>
    </row>
    <row r="86" spans="1:9" x14ac:dyDescent="0.3">
      <c r="A86" s="92">
        <v>45016</v>
      </c>
      <c r="B86" s="96">
        <v>50</v>
      </c>
      <c r="C86" s="82" t="s">
        <v>38</v>
      </c>
      <c r="D86" s="82" t="s">
        <v>129</v>
      </c>
      <c r="E86" s="82" t="s">
        <v>130</v>
      </c>
      <c r="F86" s="82" t="s">
        <v>39</v>
      </c>
      <c r="G86" s="83" t="s">
        <v>463</v>
      </c>
      <c r="H86" s="94" t="s">
        <v>455</v>
      </c>
      <c r="I86" s="91"/>
    </row>
    <row r="87" spans="1:9" x14ac:dyDescent="0.3">
      <c r="A87" s="92">
        <v>45016</v>
      </c>
      <c r="B87" s="96">
        <v>10</v>
      </c>
      <c r="C87" s="82" t="s">
        <v>38</v>
      </c>
      <c r="D87" s="82" t="s">
        <v>285</v>
      </c>
      <c r="E87" s="82" t="s">
        <v>286</v>
      </c>
      <c r="F87" s="82" t="s">
        <v>39</v>
      </c>
      <c r="G87" s="83" t="s">
        <v>464</v>
      </c>
      <c r="H87" s="94" t="s">
        <v>455</v>
      </c>
      <c r="I87" s="91"/>
    </row>
    <row r="88" spans="1:9" x14ac:dyDescent="0.3">
      <c r="A88" s="92">
        <v>45017</v>
      </c>
      <c r="B88" s="96">
        <v>500</v>
      </c>
      <c r="C88" s="82" t="s">
        <v>38</v>
      </c>
      <c r="D88" s="82" t="s">
        <v>465</v>
      </c>
      <c r="E88" s="82" t="s">
        <v>466</v>
      </c>
      <c r="F88" s="82" t="s">
        <v>39</v>
      </c>
      <c r="G88" s="83" t="s">
        <v>467</v>
      </c>
      <c r="H88" s="94" t="s">
        <v>455</v>
      </c>
      <c r="I88" s="91"/>
    </row>
    <row r="89" spans="1:9" x14ac:dyDescent="0.3">
      <c r="A89" s="92">
        <v>45024</v>
      </c>
      <c r="B89" s="96">
        <v>25</v>
      </c>
      <c r="C89" s="82" t="s">
        <v>38</v>
      </c>
      <c r="D89" s="82" t="s">
        <v>468</v>
      </c>
      <c r="E89" s="82" t="s">
        <v>96</v>
      </c>
      <c r="F89" s="82" t="s">
        <v>39</v>
      </c>
      <c r="G89" s="83" t="s">
        <v>454</v>
      </c>
      <c r="H89" s="94" t="s">
        <v>455</v>
      </c>
      <c r="I89" s="91"/>
    </row>
    <row r="90" spans="1:9" x14ac:dyDescent="0.3">
      <c r="A90" s="92">
        <v>45048</v>
      </c>
      <c r="B90" s="96">
        <v>900</v>
      </c>
      <c r="C90" s="82" t="s">
        <v>38</v>
      </c>
      <c r="D90" s="82" t="s">
        <v>144</v>
      </c>
      <c r="E90" s="82" t="s">
        <v>145</v>
      </c>
      <c r="F90" s="82" t="s">
        <v>39</v>
      </c>
      <c r="G90" s="83" t="s">
        <v>469</v>
      </c>
      <c r="H90" s="94" t="s">
        <v>455</v>
      </c>
      <c r="I90" s="91"/>
    </row>
    <row r="91" spans="1:9" x14ac:dyDescent="0.3">
      <c r="A91" s="92">
        <v>45147</v>
      </c>
      <c r="B91" s="96">
        <v>50</v>
      </c>
      <c r="C91" s="82" t="s">
        <v>38</v>
      </c>
      <c r="D91" s="82" t="s">
        <v>151</v>
      </c>
      <c r="E91" s="82" t="s">
        <v>152</v>
      </c>
      <c r="F91" s="82" t="s">
        <v>39</v>
      </c>
      <c r="G91" s="83" t="s">
        <v>470</v>
      </c>
      <c r="H91" s="94" t="s">
        <v>455</v>
      </c>
      <c r="I91" s="91"/>
    </row>
    <row r="92" spans="1:9" x14ac:dyDescent="0.3">
      <c r="A92" s="92">
        <v>45169</v>
      </c>
      <c r="B92" s="96">
        <v>250</v>
      </c>
      <c r="C92" s="82" t="s">
        <v>38</v>
      </c>
      <c r="D92" s="82" t="s">
        <v>134</v>
      </c>
      <c r="E92" s="82" t="s">
        <v>135</v>
      </c>
      <c r="F92" s="82" t="s">
        <v>39</v>
      </c>
      <c r="G92" s="83" t="s">
        <v>471</v>
      </c>
      <c r="H92" s="94" t="s">
        <v>455</v>
      </c>
      <c r="I92" s="91"/>
    </row>
    <row r="93" spans="1:9" x14ac:dyDescent="0.3">
      <c r="A93" s="92">
        <v>45253</v>
      </c>
      <c r="B93" s="97">
        <v>2000</v>
      </c>
      <c r="C93" s="82" t="s">
        <v>38</v>
      </c>
      <c r="D93" s="82" t="s">
        <v>144</v>
      </c>
      <c r="E93" s="82" t="s">
        <v>145</v>
      </c>
      <c r="F93" s="82" t="s">
        <v>39</v>
      </c>
      <c r="G93" s="83" t="s">
        <v>472</v>
      </c>
      <c r="H93" s="94" t="s">
        <v>455</v>
      </c>
      <c r="I93" s="91"/>
    </row>
    <row r="94" spans="1:9" x14ac:dyDescent="0.3">
      <c r="A94" s="92"/>
      <c r="B94" s="95">
        <f>SUM(B81:B93)</f>
        <v>4755</v>
      </c>
      <c r="C94" s="82"/>
      <c r="D94" s="82"/>
      <c r="E94" s="82"/>
      <c r="F94" s="82"/>
      <c r="H94" s="94"/>
      <c r="I94" s="91"/>
    </row>
    <row r="95" spans="1:9" x14ac:dyDescent="0.3">
      <c r="A95" s="92"/>
      <c r="B95" s="96"/>
      <c r="C95" s="82"/>
      <c r="D95" s="82"/>
      <c r="E95" s="82"/>
      <c r="F95" s="82"/>
      <c r="H95" s="94"/>
      <c r="I95" s="91"/>
    </row>
    <row r="96" spans="1:9" x14ac:dyDescent="0.3">
      <c r="A96" s="92">
        <v>44955</v>
      </c>
      <c r="B96" s="96">
        <v>100</v>
      </c>
      <c r="C96" s="82" t="s">
        <v>38</v>
      </c>
      <c r="D96" s="82" t="s">
        <v>66</v>
      </c>
      <c r="E96" s="82" t="s">
        <v>67</v>
      </c>
      <c r="F96" s="82" t="s">
        <v>39</v>
      </c>
      <c r="G96" s="83" t="s">
        <v>473</v>
      </c>
      <c r="H96" s="82" t="s">
        <v>474</v>
      </c>
      <c r="I96" s="91"/>
    </row>
    <row r="97" spans="1:9" x14ac:dyDescent="0.3">
      <c r="A97" s="92">
        <v>44955</v>
      </c>
      <c r="B97" s="97">
        <v>100</v>
      </c>
      <c r="C97" s="82" t="s">
        <v>38</v>
      </c>
      <c r="D97" s="82" t="s">
        <v>76</v>
      </c>
      <c r="E97" s="82" t="s">
        <v>77</v>
      </c>
      <c r="F97" s="82" t="s">
        <v>39</v>
      </c>
      <c r="G97" s="83" t="s">
        <v>475</v>
      </c>
      <c r="H97" s="82" t="s">
        <v>474</v>
      </c>
      <c r="I97" s="91"/>
    </row>
    <row r="98" spans="1:9" x14ac:dyDescent="0.3">
      <c r="A98" s="92"/>
      <c r="B98" s="95">
        <f>SUM(B96:B97)</f>
        <v>200</v>
      </c>
      <c r="C98" s="82"/>
      <c r="D98" s="82"/>
      <c r="E98" s="82"/>
      <c r="F98" s="82"/>
      <c r="H98" s="82"/>
      <c r="I98" s="91"/>
    </row>
    <row r="99" spans="1:9" x14ac:dyDescent="0.3">
      <c r="A99" s="92"/>
      <c r="B99" s="96"/>
      <c r="C99" s="82"/>
      <c r="D99" s="82"/>
      <c r="E99" s="82"/>
      <c r="F99" s="82"/>
      <c r="H99" s="82"/>
      <c r="I99" s="91"/>
    </row>
    <row r="100" spans="1:9" x14ac:dyDescent="0.3">
      <c r="A100" s="92">
        <v>45272</v>
      </c>
      <c r="B100" s="96">
        <v>25</v>
      </c>
      <c r="C100" s="82" t="s">
        <v>38</v>
      </c>
      <c r="D100" s="82" t="s">
        <v>70</v>
      </c>
      <c r="E100" s="82" t="s">
        <v>71</v>
      </c>
      <c r="F100" s="82" t="s">
        <v>39</v>
      </c>
      <c r="G100" s="83" t="s">
        <v>476</v>
      </c>
      <c r="H100" s="94" t="s">
        <v>477</v>
      </c>
      <c r="I100" s="91"/>
    </row>
    <row r="101" spans="1:9" x14ac:dyDescent="0.3">
      <c r="A101" s="92">
        <v>45272</v>
      </c>
      <c r="B101" s="96">
        <v>25</v>
      </c>
      <c r="C101" s="82" t="s">
        <v>38</v>
      </c>
      <c r="D101" s="82" t="s">
        <v>78</v>
      </c>
      <c r="E101" s="82" t="s">
        <v>79</v>
      </c>
      <c r="F101" s="82" t="s">
        <v>39</v>
      </c>
      <c r="G101" s="83" t="s">
        <v>251</v>
      </c>
      <c r="H101" s="94" t="s">
        <v>477</v>
      </c>
      <c r="I101" s="91"/>
    </row>
    <row r="102" spans="1:9" x14ac:dyDescent="0.3">
      <c r="A102" s="92">
        <v>45272</v>
      </c>
      <c r="B102" s="96">
        <v>25</v>
      </c>
      <c r="C102" s="82" t="s">
        <v>38</v>
      </c>
      <c r="D102" s="82" t="s">
        <v>72</v>
      </c>
      <c r="E102" s="82" t="s">
        <v>73</v>
      </c>
      <c r="F102" s="82" t="s">
        <v>39</v>
      </c>
      <c r="G102" s="83" t="s">
        <v>478</v>
      </c>
      <c r="H102" s="94" t="s">
        <v>477</v>
      </c>
      <c r="I102" s="91"/>
    </row>
    <row r="103" spans="1:9" x14ac:dyDescent="0.3">
      <c r="A103" s="92">
        <v>45272</v>
      </c>
      <c r="B103" s="96">
        <v>25</v>
      </c>
      <c r="C103" s="82" t="s">
        <v>38</v>
      </c>
      <c r="D103" s="82" t="s">
        <v>144</v>
      </c>
      <c r="E103" s="82" t="s">
        <v>145</v>
      </c>
      <c r="F103" s="82" t="s">
        <v>39</v>
      </c>
      <c r="G103" s="83" t="s">
        <v>251</v>
      </c>
      <c r="H103" s="94" t="s">
        <v>477</v>
      </c>
      <c r="I103" s="91"/>
    </row>
    <row r="104" spans="1:9" x14ac:dyDescent="0.3">
      <c r="A104" s="92">
        <v>45272</v>
      </c>
      <c r="B104" s="96">
        <v>25</v>
      </c>
      <c r="C104" s="82" t="s">
        <v>38</v>
      </c>
      <c r="D104" s="82" t="s">
        <v>267</v>
      </c>
      <c r="E104" s="82" t="s">
        <v>268</v>
      </c>
      <c r="F104" s="82" t="s">
        <v>39</v>
      </c>
      <c r="G104" s="83" t="s">
        <v>479</v>
      </c>
      <c r="H104" s="94" t="s">
        <v>477</v>
      </c>
      <c r="I104" s="91"/>
    </row>
    <row r="105" spans="1:9" x14ac:dyDescent="0.3">
      <c r="A105" s="92">
        <v>45272</v>
      </c>
      <c r="B105" s="96">
        <v>25</v>
      </c>
      <c r="C105" s="82" t="s">
        <v>38</v>
      </c>
      <c r="D105" s="82" t="s">
        <v>301</v>
      </c>
      <c r="E105" s="82" t="s">
        <v>302</v>
      </c>
      <c r="F105" s="82" t="s">
        <v>39</v>
      </c>
      <c r="G105" s="83" t="s">
        <v>303</v>
      </c>
      <c r="H105" s="94" t="s">
        <v>477</v>
      </c>
      <c r="I105" s="91"/>
    </row>
    <row r="106" spans="1:9" x14ac:dyDescent="0.3">
      <c r="A106" s="92">
        <v>45272</v>
      </c>
      <c r="B106" s="96">
        <v>50</v>
      </c>
      <c r="C106" s="82" t="s">
        <v>38</v>
      </c>
      <c r="D106" s="82" t="s">
        <v>275</v>
      </c>
      <c r="E106" s="82" t="s">
        <v>276</v>
      </c>
      <c r="F106" s="82" t="s">
        <v>39</v>
      </c>
      <c r="G106" s="83" t="s">
        <v>480</v>
      </c>
      <c r="H106" s="94" t="s">
        <v>477</v>
      </c>
      <c r="I106" s="91"/>
    </row>
    <row r="107" spans="1:9" x14ac:dyDescent="0.3">
      <c r="A107" s="92">
        <v>45272</v>
      </c>
      <c r="B107" s="96">
        <v>25</v>
      </c>
      <c r="C107" s="82" t="s">
        <v>38</v>
      </c>
      <c r="D107" s="82" t="s">
        <v>297</v>
      </c>
      <c r="E107" s="82" t="s">
        <v>298</v>
      </c>
      <c r="F107" s="82" t="s">
        <v>39</v>
      </c>
      <c r="G107" s="83" t="s">
        <v>480</v>
      </c>
      <c r="H107" s="94" t="s">
        <v>477</v>
      </c>
      <c r="I107" s="91"/>
    </row>
    <row r="108" spans="1:9" x14ac:dyDescent="0.3">
      <c r="A108" s="92">
        <v>45272</v>
      </c>
      <c r="B108" s="96">
        <v>25</v>
      </c>
      <c r="C108" s="82" t="s">
        <v>38</v>
      </c>
      <c r="D108" s="82" t="s">
        <v>427</v>
      </c>
      <c r="E108" s="82" t="s">
        <v>45</v>
      </c>
      <c r="F108" s="82" t="s">
        <v>39</v>
      </c>
      <c r="G108" s="83" t="s">
        <v>480</v>
      </c>
      <c r="H108" s="94" t="s">
        <v>477</v>
      </c>
      <c r="I108" s="91"/>
    </row>
    <row r="109" spans="1:9" x14ac:dyDescent="0.3">
      <c r="A109" s="92">
        <v>45272</v>
      </c>
      <c r="B109" s="96">
        <v>25</v>
      </c>
      <c r="C109" s="82" t="s">
        <v>38</v>
      </c>
      <c r="D109" s="82" t="s">
        <v>305</v>
      </c>
      <c r="E109" s="82" t="s">
        <v>306</v>
      </c>
      <c r="F109" s="82" t="s">
        <v>39</v>
      </c>
      <c r="G109" s="83" t="s">
        <v>481</v>
      </c>
      <c r="H109" s="94" t="s">
        <v>477</v>
      </c>
      <c r="I109" s="91"/>
    </row>
    <row r="110" spans="1:9" x14ac:dyDescent="0.3">
      <c r="A110" s="92">
        <v>45272</v>
      </c>
      <c r="B110" s="96">
        <v>25</v>
      </c>
      <c r="C110" s="82" t="s">
        <v>38</v>
      </c>
      <c r="D110" s="82" t="s">
        <v>482</v>
      </c>
      <c r="E110" s="82" t="s">
        <v>56</v>
      </c>
      <c r="F110" s="82" t="s">
        <v>39</v>
      </c>
      <c r="G110" s="83" t="s">
        <v>480</v>
      </c>
      <c r="H110" s="94" t="s">
        <v>477</v>
      </c>
      <c r="I110" s="91"/>
    </row>
    <row r="111" spans="1:9" x14ac:dyDescent="0.3">
      <c r="A111" s="92">
        <v>45272</v>
      </c>
      <c r="B111" s="96">
        <v>25</v>
      </c>
      <c r="C111" s="82" t="s">
        <v>38</v>
      </c>
      <c r="D111" s="82" t="s">
        <v>151</v>
      </c>
      <c r="E111" s="82" t="s">
        <v>152</v>
      </c>
      <c r="F111" s="82" t="s">
        <v>39</v>
      </c>
      <c r="G111" s="83" t="s">
        <v>480</v>
      </c>
      <c r="H111" s="94" t="s">
        <v>477</v>
      </c>
      <c r="I111" s="91"/>
    </row>
    <row r="112" spans="1:9" x14ac:dyDescent="0.3">
      <c r="A112" s="92">
        <v>45272</v>
      </c>
      <c r="B112" s="96">
        <v>25</v>
      </c>
      <c r="C112" s="82" t="s">
        <v>38</v>
      </c>
      <c r="D112" s="82" t="s">
        <v>277</v>
      </c>
      <c r="E112" s="82" t="s">
        <v>278</v>
      </c>
      <c r="F112" s="82" t="s">
        <v>39</v>
      </c>
      <c r="G112" s="83" t="s">
        <v>483</v>
      </c>
      <c r="H112" s="94" t="s">
        <v>477</v>
      </c>
      <c r="I112" s="91"/>
    </row>
    <row r="113" spans="1:9" x14ac:dyDescent="0.3">
      <c r="A113" s="92">
        <v>45272</v>
      </c>
      <c r="B113" s="96">
        <v>50</v>
      </c>
      <c r="C113" s="82" t="s">
        <v>38</v>
      </c>
      <c r="D113" s="82" t="s">
        <v>484</v>
      </c>
      <c r="E113" s="82" t="s">
        <v>485</v>
      </c>
      <c r="F113" s="82" t="s">
        <v>39</v>
      </c>
      <c r="H113" s="94" t="s">
        <v>477</v>
      </c>
      <c r="I113" s="91"/>
    </row>
    <row r="114" spans="1:9" x14ac:dyDescent="0.3">
      <c r="A114" s="92">
        <v>45272</v>
      </c>
      <c r="B114" s="96">
        <v>25</v>
      </c>
      <c r="C114" s="82" t="s">
        <v>38</v>
      </c>
      <c r="D114" s="82" t="s">
        <v>486</v>
      </c>
      <c r="E114" s="82" t="s">
        <v>487</v>
      </c>
      <c r="F114" s="82" t="s">
        <v>39</v>
      </c>
      <c r="G114" s="83" t="s">
        <v>480</v>
      </c>
      <c r="H114" s="94" t="s">
        <v>477</v>
      </c>
      <c r="I114" s="91"/>
    </row>
    <row r="115" spans="1:9" x14ac:dyDescent="0.3">
      <c r="A115" s="92">
        <v>45272</v>
      </c>
      <c r="B115" s="96">
        <v>25</v>
      </c>
      <c r="C115" s="82" t="s">
        <v>38</v>
      </c>
      <c r="D115" s="82" t="s">
        <v>147</v>
      </c>
      <c r="E115" s="82" t="s">
        <v>148</v>
      </c>
      <c r="F115" s="82" t="s">
        <v>39</v>
      </c>
      <c r="G115" s="83" t="s">
        <v>488</v>
      </c>
      <c r="H115" s="94" t="s">
        <v>477</v>
      </c>
      <c r="I115" s="91"/>
    </row>
    <row r="116" spans="1:9" x14ac:dyDescent="0.3">
      <c r="A116" s="92">
        <v>45272</v>
      </c>
      <c r="B116" s="96">
        <v>25</v>
      </c>
      <c r="C116" s="82" t="s">
        <v>38</v>
      </c>
      <c r="D116" s="82" t="s">
        <v>489</v>
      </c>
      <c r="E116" s="82" t="s">
        <v>315</v>
      </c>
      <c r="F116" s="82" t="s">
        <v>39</v>
      </c>
      <c r="G116" s="83" t="s">
        <v>490</v>
      </c>
      <c r="H116" s="94" t="s">
        <v>477</v>
      </c>
      <c r="I116" s="91"/>
    </row>
    <row r="117" spans="1:9" x14ac:dyDescent="0.3">
      <c r="A117" s="92">
        <v>45272</v>
      </c>
      <c r="B117" s="96">
        <v>25</v>
      </c>
      <c r="C117" s="82" t="s">
        <v>38</v>
      </c>
      <c r="D117" s="82" t="s">
        <v>269</v>
      </c>
      <c r="E117" s="82" t="s">
        <v>270</v>
      </c>
      <c r="F117" s="82" t="s">
        <v>39</v>
      </c>
      <c r="G117" s="83" t="s">
        <v>491</v>
      </c>
      <c r="H117" s="94" t="s">
        <v>477</v>
      </c>
      <c r="I117" s="91"/>
    </row>
    <row r="118" spans="1:9" x14ac:dyDescent="0.3">
      <c r="A118" s="92">
        <v>45272</v>
      </c>
      <c r="B118" s="96">
        <v>50</v>
      </c>
      <c r="C118" s="82" t="s">
        <v>38</v>
      </c>
      <c r="D118" s="82" t="s">
        <v>255</v>
      </c>
      <c r="E118" s="82" t="s">
        <v>256</v>
      </c>
      <c r="F118" s="82" t="s">
        <v>39</v>
      </c>
      <c r="G118" s="83" t="s">
        <v>480</v>
      </c>
      <c r="H118" s="94" t="s">
        <v>477</v>
      </c>
      <c r="I118" s="91"/>
    </row>
    <row r="119" spans="1:9" x14ac:dyDescent="0.3">
      <c r="A119" s="92">
        <v>45272</v>
      </c>
      <c r="B119" s="96">
        <v>25</v>
      </c>
      <c r="C119" s="82" t="s">
        <v>38</v>
      </c>
      <c r="D119" s="82" t="s">
        <v>249</v>
      </c>
      <c r="E119" s="82" t="s">
        <v>250</v>
      </c>
      <c r="F119" s="82" t="s">
        <v>39</v>
      </c>
      <c r="G119" s="83" t="s">
        <v>480</v>
      </c>
      <c r="H119" s="94" t="s">
        <v>477</v>
      </c>
      <c r="I119" s="91"/>
    </row>
    <row r="120" spans="1:9" x14ac:dyDescent="0.3">
      <c r="A120" s="92">
        <v>45272</v>
      </c>
      <c r="B120" s="96">
        <v>25</v>
      </c>
      <c r="C120" s="82" t="s">
        <v>38</v>
      </c>
      <c r="D120" s="82" t="s">
        <v>492</v>
      </c>
      <c r="E120" s="82" t="s">
        <v>493</v>
      </c>
      <c r="F120" s="82" t="s">
        <v>39</v>
      </c>
      <c r="G120" s="83" t="s">
        <v>480</v>
      </c>
      <c r="H120" s="94" t="s">
        <v>477</v>
      </c>
      <c r="I120" s="91"/>
    </row>
    <row r="121" spans="1:9" x14ac:dyDescent="0.3">
      <c r="A121" s="92">
        <v>45272</v>
      </c>
      <c r="B121" s="96">
        <v>25</v>
      </c>
      <c r="C121" s="82" t="s">
        <v>38</v>
      </c>
      <c r="D121" s="82" t="s">
        <v>48</v>
      </c>
      <c r="E121" s="82" t="s">
        <v>49</v>
      </c>
      <c r="F121" s="82" t="s">
        <v>39</v>
      </c>
      <c r="G121" s="83" t="s">
        <v>480</v>
      </c>
      <c r="H121" s="94" t="s">
        <v>477</v>
      </c>
      <c r="I121" s="91"/>
    </row>
    <row r="122" spans="1:9" x14ac:dyDescent="0.3">
      <c r="A122" s="92">
        <v>45272</v>
      </c>
      <c r="B122" s="96">
        <v>25</v>
      </c>
      <c r="C122" s="82" t="s">
        <v>38</v>
      </c>
      <c r="D122" s="82" t="s">
        <v>54</v>
      </c>
      <c r="E122" s="82" t="s">
        <v>55</v>
      </c>
      <c r="F122" s="82" t="s">
        <v>39</v>
      </c>
      <c r="G122" s="83" t="s">
        <v>494</v>
      </c>
      <c r="H122" s="94" t="s">
        <v>477</v>
      </c>
      <c r="I122" s="91"/>
    </row>
    <row r="123" spans="1:9" x14ac:dyDescent="0.3">
      <c r="A123" s="92">
        <v>45273</v>
      </c>
      <c r="B123" s="96">
        <v>25</v>
      </c>
      <c r="C123" s="82" t="s">
        <v>38</v>
      </c>
      <c r="D123" s="82" t="s">
        <v>287</v>
      </c>
      <c r="E123" s="82" t="s">
        <v>288</v>
      </c>
      <c r="F123" s="82" t="s">
        <v>39</v>
      </c>
      <c r="G123" s="83" t="s">
        <v>490</v>
      </c>
      <c r="H123" s="94" t="s">
        <v>477</v>
      </c>
      <c r="I123" s="91"/>
    </row>
    <row r="124" spans="1:9" x14ac:dyDescent="0.3">
      <c r="A124" s="92">
        <v>45273</v>
      </c>
      <c r="B124" s="96">
        <v>50</v>
      </c>
      <c r="C124" s="82" t="s">
        <v>38</v>
      </c>
      <c r="D124" s="82" t="s">
        <v>84</v>
      </c>
      <c r="E124" s="82" t="s">
        <v>495</v>
      </c>
      <c r="F124" s="82" t="s">
        <v>39</v>
      </c>
      <c r="G124" s="83" t="s">
        <v>496</v>
      </c>
      <c r="H124" s="94" t="s">
        <v>477</v>
      </c>
      <c r="I124" s="91"/>
    </row>
    <row r="125" spans="1:9" x14ac:dyDescent="0.3">
      <c r="A125" s="92">
        <v>45273</v>
      </c>
      <c r="B125" s="96">
        <v>50</v>
      </c>
      <c r="C125" s="82" t="s">
        <v>38</v>
      </c>
      <c r="D125" s="82" t="s">
        <v>295</v>
      </c>
      <c r="E125" s="82" t="s">
        <v>296</v>
      </c>
      <c r="F125" s="82" t="s">
        <v>39</v>
      </c>
      <c r="G125" s="83" t="s">
        <v>480</v>
      </c>
      <c r="H125" s="94" t="s">
        <v>477</v>
      </c>
      <c r="I125" s="91"/>
    </row>
    <row r="126" spans="1:9" x14ac:dyDescent="0.3">
      <c r="A126" s="92">
        <v>45273</v>
      </c>
      <c r="B126" s="96">
        <v>50</v>
      </c>
      <c r="C126" s="82" t="s">
        <v>38</v>
      </c>
      <c r="D126" s="82" t="s">
        <v>87</v>
      </c>
      <c r="E126" s="82" t="s">
        <v>446</v>
      </c>
      <c r="F126" s="82" t="s">
        <v>39</v>
      </c>
      <c r="G126" s="83" t="s">
        <v>480</v>
      </c>
      <c r="H126" s="94" t="s">
        <v>477</v>
      </c>
      <c r="I126" s="91"/>
    </row>
    <row r="127" spans="1:9" x14ac:dyDescent="0.3">
      <c r="A127" s="92">
        <v>45273</v>
      </c>
      <c r="B127" s="96">
        <v>25</v>
      </c>
      <c r="C127" s="82" t="s">
        <v>38</v>
      </c>
      <c r="D127" s="82" t="s">
        <v>497</v>
      </c>
      <c r="E127" s="82" t="s">
        <v>498</v>
      </c>
      <c r="F127" s="82" t="s">
        <v>39</v>
      </c>
      <c r="G127" s="83" t="s">
        <v>480</v>
      </c>
      <c r="H127" s="94" t="s">
        <v>477</v>
      </c>
      <c r="I127" s="91"/>
    </row>
    <row r="128" spans="1:9" x14ac:dyDescent="0.3">
      <c r="A128" s="92">
        <v>45273</v>
      </c>
      <c r="B128" s="96">
        <v>100</v>
      </c>
      <c r="C128" s="82" t="s">
        <v>38</v>
      </c>
      <c r="D128" s="82" t="s">
        <v>262</v>
      </c>
      <c r="E128" s="82" t="s">
        <v>263</v>
      </c>
      <c r="F128" s="82" t="s">
        <v>39</v>
      </c>
      <c r="G128" s="83" t="s">
        <v>499</v>
      </c>
      <c r="H128" s="94" t="s">
        <v>477</v>
      </c>
      <c r="I128" s="91"/>
    </row>
    <row r="129" spans="1:9" x14ac:dyDescent="0.3">
      <c r="A129" s="92">
        <v>45273</v>
      </c>
      <c r="B129" s="96">
        <v>25</v>
      </c>
      <c r="C129" s="82" t="s">
        <v>38</v>
      </c>
      <c r="D129" s="82" t="s">
        <v>260</v>
      </c>
      <c r="E129" s="82" t="s">
        <v>261</v>
      </c>
      <c r="F129" s="82" t="s">
        <v>39</v>
      </c>
      <c r="G129" s="83" t="s">
        <v>480</v>
      </c>
      <c r="H129" s="94" t="s">
        <v>477</v>
      </c>
      <c r="I129" s="91"/>
    </row>
    <row r="130" spans="1:9" x14ac:dyDescent="0.3">
      <c r="A130" s="92">
        <v>45273</v>
      </c>
      <c r="B130" s="96">
        <v>25</v>
      </c>
      <c r="C130" s="82" t="s">
        <v>38</v>
      </c>
      <c r="D130" s="82" t="s">
        <v>500</v>
      </c>
      <c r="E130" s="82" t="s">
        <v>501</v>
      </c>
      <c r="F130" s="82" t="s">
        <v>39</v>
      </c>
      <c r="G130" s="83" t="s">
        <v>480</v>
      </c>
      <c r="H130" s="94" t="s">
        <v>477</v>
      </c>
      <c r="I130" s="91"/>
    </row>
    <row r="131" spans="1:9" x14ac:dyDescent="0.3">
      <c r="A131" s="92">
        <v>45273</v>
      </c>
      <c r="B131" s="96">
        <v>25</v>
      </c>
      <c r="C131" s="82" t="s">
        <v>38</v>
      </c>
      <c r="D131" s="82" t="s">
        <v>40</v>
      </c>
      <c r="E131" s="82" t="s">
        <v>41</v>
      </c>
      <c r="F131" s="82" t="s">
        <v>39</v>
      </c>
      <c r="G131" s="83" t="s">
        <v>502</v>
      </c>
      <c r="H131" s="94" t="s">
        <v>477</v>
      </c>
      <c r="I131" s="91"/>
    </row>
    <row r="132" spans="1:9" x14ac:dyDescent="0.3">
      <c r="A132" s="92">
        <v>45273</v>
      </c>
      <c r="B132" s="96">
        <v>25</v>
      </c>
      <c r="C132" s="82" t="s">
        <v>38</v>
      </c>
      <c r="D132" s="82" t="s">
        <v>273</v>
      </c>
      <c r="E132" s="82" t="s">
        <v>274</v>
      </c>
      <c r="F132" s="82" t="s">
        <v>39</v>
      </c>
      <c r="G132" s="83" t="s">
        <v>490</v>
      </c>
      <c r="H132" s="94" t="s">
        <v>477</v>
      </c>
      <c r="I132" s="91"/>
    </row>
    <row r="133" spans="1:9" x14ac:dyDescent="0.3">
      <c r="A133" s="92">
        <v>45274</v>
      </c>
      <c r="B133" s="96">
        <v>25</v>
      </c>
      <c r="C133" s="82" t="s">
        <v>38</v>
      </c>
      <c r="D133" s="82" t="s">
        <v>503</v>
      </c>
      <c r="E133" s="82" t="s">
        <v>504</v>
      </c>
      <c r="F133" s="82" t="s">
        <v>39</v>
      </c>
      <c r="G133" s="83" t="s">
        <v>480</v>
      </c>
      <c r="H133" s="94" t="s">
        <v>477</v>
      </c>
      <c r="I133" s="91"/>
    </row>
    <row r="134" spans="1:9" x14ac:dyDescent="0.3">
      <c r="A134" s="92">
        <v>45274</v>
      </c>
      <c r="B134" s="96">
        <v>50</v>
      </c>
      <c r="C134" s="82" t="s">
        <v>38</v>
      </c>
      <c r="D134" s="82" t="s">
        <v>289</v>
      </c>
      <c r="E134" s="82" t="s">
        <v>290</v>
      </c>
      <c r="F134" s="82" t="s">
        <v>39</v>
      </c>
      <c r="G134" s="83" t="s">
        <v>480</v>
      </c>
      <c r="H134" s="94" t="s">
        <v>477</v>
      </c>
      <c r="I134" s="91"/>
    </row>
    <row r="135" spans="1:9" x14ac:dyDescent="0.3">
      <c r="A135" s="92">
        <v>45274</v>
      </c>
      <c r="B135" s="96">
        <v>25</v>
      </c>
      <c r="C135" s="82" t="s">
        <v>38</v>
      </c>
      <c r="D135" s="82" t="s">
        <v>505</v>
      </c>
      <c r="E135" s="82" t="s">
        <v>506</v>
      </c>
      <c r="F135" s="82" t="s">
        <v>39</v>
      </c>
      <c r="G135" s="83" t="s">
        <v>480</v>
      </c>
      <c r="H135" s="94" t="s">
        <v>477</v>
      </c>
      <c r="I135" s="91"/>
    </row>
    <row r="136" spans="1:9" x14ac:dyDescent="0.3">
      <c r="A136" s="92">
        <v>45274</v>
      </c>
      <c r="B136" s="96">
        <v>25</v>
      </c>
      <c r="C136" s="82" t="s">
        <v>38</v>
      </c>
      <c r="D136" s="82" t="s">
        <v>104</v>
      </c>
      <c r="E136" s="82" t="s">
        <v>105</v>
      </c>
      <c r="F136" s="82" t="s">
        <v>39</v>
      </c>
      <c r="G136" s="83" t="s">
        <v>480</v>
      </c>
      <c r="H136" s="94" t="s">
        <v>477</v>
      </c>
      <c r="I136" s="91"/>
    </row>
    <row r="137" spans="1:9" x14ac:dyDescent="0.3">
      <c r="A137" s="92">
        <v>45274</v>
      </c>
      <c r="B137" s="96">
        <v>25</v>
      </c>
      <c r="C137" s="82" t="s">
        <v>38</v>
      </c>
      <c r="D137" s="82" t="s">
        <v>76</v>
      </c>
      <c r="E137" s="82" t="s">
        <v>77</v>
      </c>
      <c r="F137" s="82" t="s">
        <v>39</v>
      </c>
      <c r="G137" s="83" t="s">
        <v>480</v>
      </c>
      <c r="H137" s="94" t="s">
        <v>477</v>
      </c>
      <c r="I137" s="91"/>
    </row>
    <row r="138" spans="1:9" x14ac:dyDescent="0.3">
      <c r="A138" s="92">
        <v>45274</v>
      </c>
      <c r="B138" s="96">
        <v>25</v>
      </c>
      <c r="C138" s="82" t="s">
        <v>38</v>
      </c>
      <c r="D138" s="82" t="s">
        <v>279</v>
      </c>
      <c r="E138" s="82" t="s">
        <v>280</v>
      </c>
      <c r="F138" s="82" t="s">
        <v>39</v>
      </c>
      <c r="G138" s="83" t="s">
        <v>480</v>
      </c>
      <c r="H138" s="94" t="s">
        <v>477</v>
      </c>
      <c r="I138" s="91"/>
    </row>
    <row r="139" spans="1:9" x14ac:dyDescent="0.3">
      <c r="A139" s="92">
        <v>45275</v>
      </c>
      <c r="B139" s="96">
        <v>25</v>
      </c>
      <c r="C139" s="82" t="s">
        <v>38</v>
      </c>
      <c r="D139" s="82" t="s">
        <v>85</v>
      </c>
      <c r="E139" s="82" t="s">
        <v>86</v>
      </c>
      <c r="F139" s="82" t="s">
        <v>39</v>
      </c>
      <c r="G139" s="83" t="s">
        <v>480</v>
      </c>
      <c r="H139" s="94" t="s">
        <v>477</v>
      </c>
      <c r="I139" s="91"/>
    </row>
    <row r="140" spans="1:9" x14ac:dyDescent="0.3">
      <c r="A140" s="92">
        <v>45275</v>
      </c>
      <c r="B140" s="96">
        <v>25</v>
      </c>
      <c r="C140" s="82" t="s">
        <v>38</v>
      </c>
      <c r="D140" s="82" t="s">
        <v>507</v>
      </c>
      <c r="E140" s="82" t="s">
        <v>508</v>
      </c>
      <c r="F140" s="82" t="s">
        <v>39</v>
      </c>
      <c r="G140" s="83" t="s">
        <v>480</v>
      </c>
      <c r="H140" s="94" t="s">
        <v>477</v>
      </c>
      <c r="I140" s="91"/>
    </row>
    <row r="141" spans="1:9" x14ac:dyDescent="0.3">
      <c r="A141" s="92">
        <v>45276</v>
      </c>
      <c r="B141" s="96">
        <v>25</v>
      </c>
      <c r="C141" s="82" t="s">
        <v>38</v>
      </c>
      <c r="D141" s="82" t="s">
        <v>50</v>
      </c>
      <c r="E141" s="82" t="s">
        <v>51</v>
      </c>
      <c r="F141" s="82" t="s">
        <v>39</v>
      </c>
      <c r="G141" s="83" t="s">
        <v>480</v>
      </c>
      <c r="H141" s="94" t="s">
        <v>477</v>
      </c>
      <c r="I141" s="91"/>
    </row>
    <row r="142" spans="1:9" x14ac:dyDescent="0.3">
      <c r="A142" s="92">
        <v>45276</v>
      </c>
      <c r="B142" s="96">
        <v>25</v>
      </c>
      <c r="C142" s="82" t="s">
        <v>38</v>
      </c>
      <c r="D142" s="82" t="s">
        <v>299</v>
      </c>
      <c r="E142" s="82" t="s">
        <v>300</v>
      </c>
      <c r="F142" s="82" t="s">
        <v>39</v>
      </c>
      <c r="G142" s="83" t="s">
        <v>480</v>
      </c>
      <c r="H142" s="94" t="s">
        <v>477</v>
      </c>
      <c r="I142" s="91"/>
    </row>
    <row r="143" spans="1:9" x14ac:dyDescent="0.3">
      <c r="A143" s="92">
        <v>45276</v>
      </c>
      <c r="B143" s="96">
        <v>25</v>
      </c>
      <c r="C143" s="82" t="s">
        <v>38</v>
      </c>
      <c r="D143" s="82" t="s">
        <v>293</v>
      </c>
      <c r="E143" s="82" t="s">
        <v>294</v>
      </c>
      <c r="F143" s="82" t="s">
        <v>39</v>
      </c>
      <c r="G143" s="83" t="s">
        <v>509</v>
      </c>
      <c r="H143" s="94" t="s">
        <v>477</v>
      </c>
      <c r="I143" s="91"/>
    </row>
    <row r="144" spans="1:9" x14ac:dyDescent="0.3">
      <c r="A144" s="92">
        <v>45277</v>
      </c>
      <c r="B144" s="96">
        <v>50</v>
      </c>
      <c r="C144" s="82" t="s">
        <v>38</v>
      </c>
      <c r="D144" s="82" t="s">
        <v>510</v>
      </c>
      <c r="E144" s="82" t="s">
        <v>511</v>
      </c>
      <c r="F144" s="82" t="s">
        <v>39</v>
      </c>
      <c r="G144" s="83" t="s">
        <v>512</v>
      </c>
      <c r="H144" s="94" t="s">
        <v>477</v>
      </c>
      <c r="I144" s="91"/>
    </row>
    <row r="145" spans="1:9" x14ac:dyDescent="0.3">
      <c r="A145" s="92">
        <v>45277</v>
      </c>
      <c r="B145" s="96">
        <v>50</v>
      </c>
      <c r="C145" s="82" t="s">
        <v>38</v>
      </c>
      <c r="D145" s="82" t="s">
        <v>513</v>
      </c>
      <c r="E145" s="82" t="s">
        <v>514</v>
      </c>
      <c r="F145" s="82" t="s">
        <v>39</v>
      </c>
      <c r="G145" s="83" t="s">
        <v>480</v>
      </c>
      <c r="H145" s="94" t="s">
        <v>477</v>
      </c>
      <c r="I145" s="91"/>
    </row>
    <row r="146" spans="1:9" x14ac:dyDescent="0.3">
      <c r="A146" s="92">
        <v>45278</v>
      </c>
      <c r="B146" s="96">
        <v>50</v>
      </c>
      <c r="C146" s="82" t="s">
        <v>38</v>
      </c>
      <c r="D146" s="82" t="s">
        <v>515</v>
      </c>
      <c r="E146" s="82" t="s">
        <v>516</v>
      </c>
      <c r="F146" s="82" t="s">
        <v>39</v>
      </c>
      <c r="G146" s="83" t="s">
        <v>480</v>
      </c>
      <c r="H146" s="94" t="s">
        <v>477</v>
      </c>
      <c r="I146" s="91"/>
    </row>
    <row r="147" spans="1:9" x14ac:dyDescent="0.3">
      <c r="A147" s="92">
        <v>45278</v>
      </c>
      <c r="B147" s="96">
        <v>25</v>
      </c>
      <c r="C147" s="82" t="s">
        <v>38</v>
      </c>
      <c r="D147" s="82" t="s">
        <v>517</v>
      </c>
      <c r="E147" s="82" t="s">
        <v>518</v>
      </c>
      <c r="F147" s="82" t="s">
        <v>39</v>
      </c>
      <c r="G147" s="83" t="s">
        <v>480</v>
      </c>
      <c r="H147" s="94" t="s">
        <v>477</v>
      </c>
      <c r="I147" s="91"/>
    </row>
    <row r="148" spans="1:9" x14ac:dyDescent="0.3">
      <c r="A148" s="92">
        <v>45279</v>
      </c>
      <c r="B148" s="96">
        <v>50</v>
      </c>
      <c r="C148" s="82" t="s">
        <v>38</v>
      </c>
      <c r="D148" s="82" t="s">
        <v>399</v>
      </c>
      <c r="E148" s="82" t="s">
        <v>400</v>
      </c>
      <c r="F148" s="82" t="s">
        <v>39</v>
      </c>
      <c r="G148" s="83" t="s">
        <v>490</v>
      </c>
      <c r="H148" s="94" t="s">
        <v>477</v>
      </c>
      <c r="I148" s="91"/>
    </row>
    <row r="149" spans="1:9" x14ac:dyDescent="0.3">
      <c r="A149" s="92">
        <v>45281</v>
      </c>
      <c r="B149" s="96">
        <v>50</v>
      </c>
      <c r="C149" s="82" t="s">
        <v>38</v>
      </c>
      <c r="D149" s="82" t="s">
        <v>74</v>
      </c>
      <c r="E149" s="82" t="s">
        <v>75</v>
      </c>
      <c r="F149" s="82" t="s">
        <v>39</v>
      </c>
      <c r="G149" s="83" t="s">
        <v>519</v>
      </c>
      <c r="H149" s="94" t="s">
        <v>477</v>
      </c>
      <c r="I149" s="91"/>
    </row>
    <row r="150" spans="1:9" x14ac:dyDescent="0.3">
      <c r="A150" s="92">
        <v>45282</v>
      </c>
      <c r="B150" s="96">
        <v>25</v>
      </c>
      <c r="C150" s="82" t="s">
        <v>38</v>
      </c>
      <c r="D150" s="82" t="s">
        <v>312</v>
      </c>
      <c r="E150" s="82" t="s">
        <v>140</v>
      </c>
      <c r="F150" s="82" t="s">
        <v>39</v>
      </c>
      <c r="G150" s="83" t="s">
        <v>509</v>
      </c>
      <c r="H150" s="94" t="s">
        <v>477</v>
      </c>
      <c r="I150" s="91"/>
    </row>
    <row r="151" spans="1:9" x14ac:dyDescent="0.3">
      <c r="A151" s="92">
        <v>45283</v>
      </c>
      <c r="B151" s="96">
        <v>25</v>
      </c>
      <c r="C151" s="82" t="s">
        <v>38</v>
      </c>
      <c r="D151" s="82" t="s">
        <v>520</v>
      </c>
      <c r="E151" s="82" t="s">
        <v>521</v>
      </c>
      <c r="F151" s="82" t="s">
        <v>39</v>
      </c>
      <c r="G151" s="83" t="s">
        <v>522</v>
      </c>
      <c r="H151" s="94" t="s">
        <v>477</v>
      </c>
      <c r="I151" s="91"/>
    </row>
    <row r="152" spans="1:9" x14ac:dyDescent="0.3">
      <c r="A152" s="92">
        <v>45283</v>
      </c>
      <c r="B152" s="96">
        <v>100</v>
      </c>
      <c r="C152" s="82" t="s">
        <v>38</v>
      </c>
      <c r="D152" s="82" t="s">
        <v>199</v>
      </c>
      <c r="E152" s="82" t="s">
        <v>254</v>
      </c>
      <c r="F152" s="82" t="s">
        <v>39</v>
      </c>
      <c r="G152" s="83" t="s">
        <v>480</v>
      </c>
      <c r="H152" s="94" t="s">
        <v>477</v>
      </c>
      <c r="I152" s="91"/>
    </row>
    <row r="153" spans="1:9" x14ac:dyDescent="0.3">
      <c r="A153" s="92">
        <v>45287</v>
      </c>
      <c r="B153" s="96">
        <v>25</v>
      </c>
      <c r="C153" s="82" t="s">
        <v>38</v>
      </c>
      <c r="D153" s="82" t="s">
        <v>82</v>
      </c>
      <c r="E153" s="82" t="s">
        <v>83</v>
      </c>
      <c r="F153" s="82" t="s">
        <v>39</v>
      </c>
      <c r="G153" s="83" t="s">
        <v>480</v>
      </c>
      <c r="H153" s="94" t="s">
        <v>477</v>
      </c>
      <c r="I153" s="91"/>
    </row>
    <row r="154" spans="1:9" x14ac:dyDescent="0.3">
      <c r="A154" s="92">
        <v>45287</v>
      </c>
      <c r="B154" s="96">
        <v>150</v>
      </c>
      <c r="C154" s="82" t="s">
        <v>38</v>
      </c>
      <c r="D154" s="82" t="s">
        <v>322</v>
      </c>
      <c r="E154" s="82" t="s">
        <v>386</v>
      </c>
      <c r="F154" s="82" t="s">
        <v>39</v>
      </c>
      <c r="G154" s="83" t="s">
        <v>523</v>
      </c>
      <c r="H154" s="94" t="s">
        <v>477</v>
      </c>
      <c r="I154" s="91"/>
    </row>
    <row r="155" spans="1:9" x14ac:dyDescent="0.3">
      <c r="A155" s="92">
        <v>45290</v>
      </c>
      <c r="B155" s="97">
        <v>50</v>
      </c>
      <c r="C155" s="82" t="s">
        <v>38</v>
      </c>
      <c r="D155" s="82" t="s">
        <v>281</v>
      </c>
      <c r="E155" s="82" t="s">
        <v>282</v>
      </c>
      <c r="F155" s="82" t="s">
        <v>39</v>
      </c>
      <c r="G155" s="83" t="s">
        <v>480</v>
      </c>
      <c r="H155" s="94" t="s">
        <v>477</v>
      </c>
      <c r="I155" s="91"/>
    </row>
    <row r="156" spans="1:9" x14ac:dyDescent="0.3">
      <c r="A156" s="92"/>
      <c r="B156" s="95">
        <f>SUM(B100:B155)</f>
        <v>2000</v>
      </c>
      <c r="C156" s="82"/>
      <c r="D156" s="82"/>
      <c r="E156" s="82"/>
      <c r="F156" s="82"/>
      <c r="H156" s="94"/>
      <c r="I156" s="91"/>
    </row>
    <row r="157" spans="1:9" x14ac:dyDescent="0.3">
      <c r="A157" s="92"/>
      <c r="B157" s="96"/>
      <c r="C157" s="82"/>
      <c r="D157" s="82"/>
      <c r="E157" s="82"/>
      <c r="F157" s="82"/>
      <c r="H157" s="94"/>
      <c r="I157" s="91"/>
    </row>
    <row r="158" spans="1:9" x14ac:dyDescent="0.3">
      <c r="A158" s="92">
        <v>44949</v>
      </c>
      <c r="B158" s="96">
        <v>95</v>
      </c>
      <c r="C158" s="82" t="s">
        <v>38</v>
      </c>
      <c r="D158" s="82" t="s">
        <v>266</v>
      </c>
      <c r="E158" s="82" t="s">
        <v>524</v>
      </c>
      <c r="F158" s="82" t="s">
        <v>39</v>
      </c>
      <c r="G158" s="83" t="s">
        <v>525</v>
      </c>
      <c r="H158" s="94" t="s">
        <v>304</v>
      </c>
      <c r="I158" s="91"/>
    </row>
    <row r="159" spans="1:9" x14ac:dyDescent="0.3">
      <c r="A159" s="92">
        <v>44964</v>
      </c>
      <c r="B159" s="96">
        <v>274</v>
      </c>
      <c r="C159" s="82" t="s">
        <v>38</v>
      </c>
      <c r="D159" s="82" t="s">
        <v>520</v>
      </c>
      <c r="E159" s="82" t="s">
        <v>521</v>
      </c>
      <c r="F159" s="82" t="s">
        <v>39</v>
      </c>
      <c r="G159" s="83" t="s">
        <v>526</v>
      </c>
      <c r="H159" s="94" t="s">
        <v>304</v>
      </c>
      <c r="I159" s="91"/>
    </row>
    <row r="160" spans="1:9" x14ac:dyDescent="0.3">
      <c r="A160" s="92">
        <v>45109</v>
      </c>
      <c r="B160" s="96">
        <v>50</v>
      </c>
      <c r="C160" s="82" t="s">
        <v>38</v>
      </c>
      <c r="D160" s="82" t="s">
        <v>427</v>
      </c>
      <c r="E160" s="82" t="s">
        <v>45</v>
      </c>
      <c r="F160" s="82" t="s">
        <v>39</v>
      </c>
      <c r="G160" s="83" t="s">
        <v>527</v>
      </c>
      <c r="H160" s="94" t="s">
        <v>304</v>
      </c>
      <c r="I160" s="91"/>
    </row>
    <row r="161" spans="1:9" x14ac:dyDescent="0.3">
      <c r="A161" s="92">
        <v>45148</v>
      </c>
      <c r="B161" s="96">
        <v>276.66000000000003</v>
      </c>
      <c r="C161" s="82" t="s">
        <v>38</v>
      </c>
      <c r="D161" s="82" t="s">
        <v>528</v>
      </c>
      <c r="E161" s="82" t="s">
        <v>529</v>
      </c>
      <c r="F161" s="82" t="s">
        <v>39</v>
      </c>
      <c r="G161" s="83" t="s">
        <v>328</v>
      </c>
      <c r="H161" s="94" t="s">
        <v>304</v>
      </c>
      <c r="I161" s="91"/>
    </row>
    <row r="162" spans="1:9" x14ac:dyDescent="0.3">
      <c r="A162" s="92">
        <v>45148</v>
      </c>
      <c r="B162" s="96">
        <v>910.51</v>
      </c>
      <c r="C162" s="82" t="s">
        <v>38</v>
      </c>
      <c r="D162" s="82" t="s">
        <v>530</v>
      </c>
      <c r="E162" s="82" t="s">
        <v>531</v>
      </c>
      <c r="F162" s="82" t="s">
        <v>39</v>
      </c>
      <c r="G162" s="83" t="s">
        <v>532</v>
      </c>
      <c r="H162" s="94" t="s">
        <v>304</v>
      </c>
      <c r="I162" s="91"/>
    </row>
    <row r="163" spans="1:9" x14ac:dyDescent="0.3">
      <c r="A163" s="92">
        <v>45156</v>
      </c>
      <c r="B163" s="96">
        <v>4272.05</v>
      </c>
      <c r="C163" s="82" t="s">
        <v>38</v>
      </c>
      <c r="D163" s="82" t="s">
        <v>533</v>
      </c>
      <c r="E163" s="82" t="s">
        <v>534</v>
      </c>
      <c r="F163" s="82" t="s">
        <v>39</v>
      </c>
      <c r="G163" s="83" t="s">
        <v>535</v>
      </c>
      <c r="H163" s="94" t="s">
        <v>304</v>
      </c>
      <c r="I163" s="91"/>
    </row>
    <row r="164" spans="1:9" x14ac:dyDescent="0.3">
      <c r="A164" s="92">
        <v>45288</v>
      </c>
      <c r="B164" s="97">
        <v>50</v>
      </c>
      <c r="C164" s="82" t="s">
        <v>38</v>
      </c>
      <c r="D164" s="82" t="s">
        <v>149</v>
      </c>
      <c r="E164" s="82" t="s">
        <v>150</v>
      </c>
      <c r="F164" s="82" t="s">
        <v>39</v>
      </c>
      <c r="G164" s="83" t="s">
        <v>536</v>
      </c>
      <c r="H164" s="94" t="s">
        <v>304</v>
      </c>
      <c r="I164" s="91"/>
    </row>
    <row r="165" spans="1:9" x14ac:dyDescent="0.3">
      <c r="A165" s="92"/>
      <c r="B165" s="95">
        <f>SUM(B158:B164)</f>
        <v>5928.22</v>
      </c>
      <c r="C165" s="82"/>
      <c r="D165" s="82"/>
      <c r="E165" s="82"/>
      <c r="F165" s="82"/>
      <c r="H165" s="94"/>
      <c r="I165" s="91"/>
    </row>
    <row r="166" spans="1:9" x14ac:dyDescent="0.3">
      <c r="A166" s="92"/>
      <c r="B166" s="96"/>
      <c r="C166" s="82"/>
      <c r="D166" s="82"/>
      <c r="E166" s="82"/>
      <c r="F166" s="82"/>
      <c r="H166" s="94"/>
      <c r="I166" s="91"/>
    </row>
    <row r="167" spans="1:9" x14ac:dyDescent="0.3">
      <c r="A167" s="92">
        <v>44931</v>
      </c>
      <c r="B167" s="96">
        <v>3000</v>
      </c>
      <c r="C167" s="82" t="s">
        <v>38</v>
      </c>
      <c r="D167" s="82" t="s">
        <v>247</v>
      </c>
      <c r="E167" s="82" t="s">
        <v>248</v>
      </c>
      <c r="F167" s="82" t="s">
        <v>39</v>
      </c>
      <c r="G167" s="83" t="s">
        <v>537</v>
      </c>
      <c r="H167" s="82" t="s">
        <v>538</v>
      </c>
      <c r="I167" s="91"/>
    </row>
    <row r="168" spans="1:9" x14ac:dyDescent="0.3">
      <c r="A168" s="92">
        <v>44929</v>
      </c>
      <c r="B168" s="96">
        <v>20706</v>
      </c>
      <c r="C168" s="82" t="s">
        <v>38</v>
      </c>
      <c r="D168" s="82" t="s">
        <v>418</v>
      </c>
      <c r="E168" s="82" t="s">
        <v>419</v>
      </c>
      <c r="F168" s="82" t="s">
        <v>39</v>
      </c>
      <c r="G168" s="83" t="s">
        <v>539</v>
      </c>
      <c r="H168" s="82" t="s">
        <v>540</v>
      </c>
      <c r="I168" s="91"/>
    </row>
    <row r="169" spans="1:9" x14ac:dyDescent="0.3">
      <c r="A169" s="92">
        <v>44992</v>
      </c>
      <c r="B169" s="96">
        <v>1900</v>
      </c>
      <c r="C169" s="82" t="s">
        <v>38</v>
      </c>
      <c r="D169" s="82" t="s">
        <v>418</v>
      </c>
      <c r="E169" s="82" t="s">
        <v>419</v>
      </c>
      <c r="F169" s="82" t="s">
        <v>39</v>
      </c>
      <c r="G169" s="83" t="s">
        <v>541</v>
      </c>
      <c r="H169" s="82" t="s">
        <v>540</v>
      </c>
      <c r="I169" s="91"/>
    </row>
    <row r="170" spans="1:9" x14ac:dyDescent="0.3">
      <c r="A170" s="92">
        <v>45067</v>
      </c>
      <c r="B170" s="96">
        <v>10500</v>
      </c>
      <c r="C170" s="82" t="s">
        <v>38</v>
      </c>
      <c r="D170" s="82" t="s">
        <v>92</v>
      </c>
      <c r="E170" s="82" t="s">
        <v>93</v>
      </c>
      <c r="F170" s="82" t="s">
        <v>39</v>
      </c>
      <c r="G170" s="83" t="s">
        <v>542</v>
      </c>
      <c r="H170" s="82" t="s">
        <v>540</v>
      </c>
      <c r="I170" s="91"/>
    </row>
    <row r="171" spans="1:9" x14ac:dyDescent="0.3">
      <c r="A171" s="92">
        <v>45107</v>
      </c>
      <c r="B171" s="97">
        <v>12400</v>
      </c>
      <c r="C171" s="82" t="s">
        <v>38</v>
      </c>
      <c r="D171" s="82" t="s">
        <v>418</v>
      </c>
      <c r="E171" s="82" t="s">
        <v>419</v>
      </c>
      <c r="F171" s="82" t="s">
        <v>39</v>
      </c>
      <c r="G171" s="83" t="s">
        <v>543</v>
      </c>
      <c r="H171" s="82" t="s">
        <v>540</v>
      </c>
      <c r="I171" s="91"/>
    </row>
    <row r="172" spans="1:9" x14ac:dyDescent="0.3">
      <c r="A172" s="92"/>
      <c r="B172" s="95">
        <f>SUM(B167:B171)</f>
        <v>48506</v>
      </c>
      <c r="C172" s="82"/>
      <c r="D172" s="82"/>
      <c r="E172" s="82"/>
      <c r="F172" s="82"/>
      <c r="H172" s="82"/>
      <c r="I172" s="91"/>
    </row>
    <row r="173" spans="1:9" x14ac:dyDescent="0.3">
      <c r="A173" s="92"/>
      <c r="B173" s="96"/>
      <c r="C173" s="82"/>
      <c r="D173" s="82"/>
      <c r="E173" s="82"/>
      <c r="F173" s="82"/>
      <c r="H173" s="82"/>
      <c r="I173" s="91"/>
    </row>
    <row r="174" spans="1:9" x14ac:dyDescent="0.3">
      <c r="A174" s="92">
        <v>45253</v>
      </c>
      <c r="B174" s="97">
        <v>3000</v>
      </c>
      <c r="C174" s="82" t="s">
        <v>38</v>
      </c>
      <c r="D174" s="82" t="s">
        <v>144</v>
      </c>
      <c r="E174" s="82" t="s">
        <v>145</v>
      </c>
      <c r="F174" s="82" t="s">
        <v>39</v>
      </c>
      <c r="G174" s="83" t="s">
        <v>472</v>
      </c>
      <c r="H174" s="94" t="s">
        <v>356</v>
      </c>
      <c r="I174" s="91"/>
    </row>
    <row r="175" spans="1:9" x14ac:dyDescent="0.3">
      <c r="A175" s="92"/>
      <c r="B175" s="95">
        <f>SUM(B174)</f>
        <v>3000</v>
      </c>
      <c r="C175" s="82"/>
      <c r="D175" s="82"/>
      <c r="E175" s="82"/>
      <c r="F175" s="82"/>
      <c r="H175" s="94"/>
      <c r="I175" s="91"/>
    </row>
    <row r="176" spans="1:9" x14ac:dyDescent="0.3">
      <c r="A176" s="92"/>
      <c r="B176" s="96"/>
      <c r="C176" s="82"/>
      <c r="D176" s="82"/>
      <c r="E176" s="82"/>
      <c r="F176" s="82"/>
      <c r="H176" s="94"/>
      <c r="I176" s="91"/>
    </row>
    <row r="177" spans="1:9" x14ac:dyDescent="0.3">
      <c r="A177" s="92">
        <v>44959</v>
      </c>
      <c r="B177" s="96">
        <v>500</v>
      </c>
      <c r="C177" s="82" t="s">
        <v>38</v>
      </c>
      <c r="D177" s="82" t="s">
        <v>129</v>
      </c>
      <c r="E177" s="82" t="s">
        <v>130</v>
      </c>
      <c r="F177" s="82" t="s">
        <v>39</v>
      </c>
      <c r="G177" s="83" t="s">
        <v>544</v>
      </c>
      <c r="H177" s="94" t="s">
        <v>353</v>
      </c>
      <c r="I177" s="91"/>
    </row>
    <row r="178" spans="1:9" x14ac:dyDescent="0.3">
      <c r="A178" s="92">
        <v>44961</v>
      </c>
      <c r="B178" s="97">
        <v>1000</v>
      </c>
      <c r="C178" s="82" t="s">
        <v>38</v>
      </c>
      <c r="D178" s="82" t="s">
        <v>134</v>
      </c>
      <c r="E178" s="82" t="s">
        <v>135</v>
      </c>
      <c r="F178" s="82" t="s">
        <v>39</v>
      </c>
      <c r="G178" s="83" t="s">
        <v>545</v>
      </c>
      <c r="H178" s="94" t="s">
        <v>353</v>
      </c>
      <c r="I178" s="91"/>
    </row>
    <row r="179" spans="1:9" x14ac:dyDescent="0.3">
      <c r="A179" s="92"/>
      <c r="B179" s="95">
        <f>SUM(B177:B178)</f>
        <v>1500</v>
      </c>
      <c r="C179" s="82"/>
      <c r="D179" s="82"/>
      <c r="E179" s="82"/>
      <c r="F179" s="82"/>
      <c r="H179" s="94"/>
      <c r="I179" s="91"/>
    </row>
    <row r="180" spans="1:9" x14ac:dyDescent="0.3">
      <c r="A180" s="92"/>
      <c r="B180" s="96"/>
      <c r="C180" s="82"/>
      <c r="D180" s="82"/>
      <c r="E180" s="82"/>
      <c r="F180" s="82"/>
      <c r="H180" s="94"/>
      <c r="I180" s="91"/>
    </row>
    <row r="181" spans="1:9" x14ac:dyDescent="0.3">
      <c r="A181" s="92">
        <v>45019</v>
      </c>
      <c r="B181" s="96">
        <v>380</v>
      </c>
      <c r="C181" s="82" t="s">
        <v>38</v>
      </c>
      <c r="D181" s="82" t="s">
        <v>144</v>
      </c>
      <c r="E181" s="82" t="s">
        <v>145</v>
      </c>
      <c r="F181" s="82" t="s">
        <v>39</v>
      </c>
      <c r="G181" s="83" t="s">
        <v>118</v>
      </c>
      <c r="H181" s="94" t="s">
        <v>94</v>
      </c>
      <c r="I181" s="91"/>
    </row>
    <row r="182" spans="1:9" x14ac:dyDescent="0.3">
      <c r="A182" s="92">
        <v>45029</v>
      </c>
      <c r="B182" s="96">
        <v>380</v>
      </c>
      <c r="C182" s="82" t="s">
        <v>38</v>
      </c>
      <c r="D182" s="82" t="s">
        <v>252</v>
      </c>
      <c r="E182" s="82" t="s">
        <v>253</v>
      </c>
      <c r="F182" s="82" t="s">
        <v>39</v>
      </c>
      <c r="G182" s="83" t="s">
        <v>546</v>
      </c>
      <c r="H182" s="94" t="s">
        <v>94</v>
      </c>
      <c r="I182" s="91"/>
    </row>
    <row r="183" spans="1:9" x14ac:dyDescent="0.3">
      <c r="A183" s="92">
        <v>45044</v>
      </c>
      <c r="B183" s="96">
        <v>190</v>
      </c>
      <c r="C183" s="82" t="s">
        <v>38</v>
      </c>
      <c r="D183" s="82" t="s">
        <v>70</v>
      </c>
      <c r="E183" s="82" t="s">
        <v>71</v>
      </c>
      <c r="F183" s="82" t="s">
        <v>47</v>
      </c>
      <c r="G183" s="83" t="s">
        <v>547</v>
      </c>
      <c r="H183" s="94" t="s">
        <v>94</v>
      </c>
      <c r="I183" s="91"/>
    </row>
    <row r="184" spans="1:9" x14ac:dyDescent="0.3">
      <c r="A184" s="92">
        <v>45049</v>
      </c>
      <c r="B184" s="96">
        <v>190</v>
      </c>
      <c r="C184" s="82" t="s">
        <v>38</v>
      </c>
      <c r="D184" s="82" t="s">
        <v>40</v>
      </c>
      <c r="E184" s="82" t="s">
        <v>41</v>
      </c>
      <c r="F184" s="82" t="s">
        <v>47</v>
      </c>
      <c r="H184" s="94" t="s">
        <v>94</v>
      </c>
      <c r="I184" s="91"/>
    </row>
    <row r="185" spans="1:9" x14ac:dyDescent="0.3">
      <c r="A185" s="92">
        <v>45053</v>
      </c>
      <c r="B185" s="96">
        <v>190</v>
      </c>
      <c r="C185" s="82" t="s">
        <v>38</v>
      </c>
      <c r="D185" s="82" t="s">
        <v>40</v>
      </c>
      <c r="E185" s="82" t="s">
        <v>41</v>
      </c>
      <c r="F185" s="82" t="s">
        <v>39</v>
      </c>
      <c r="G185" s="83" t="s">
        <v>548</v>
      </c>
      <c r="H185" s="94" t="s">
        <v>94</v>
      </c>
      <c r="I185" s="91"/>
    </row>
    <row r="186" spans="1:9" x14ac:dyDescent="0.3">
      <c r="A186" s="92">
        <v>45058</v>
      </c>
      <c r="B186" s="96">
        <v>190</v>
      </c>
      <c r="C186" s="82" t="s">
        <v>38</v>
      </c>
      <c r="D186" s="82" t="s">
        <v>264</v>
      </c>
      <c r="E186" s="82" t="s">
        <v>265</v>
      </c>
      <c r="F186" s="82" t="s">
        <v>39</v>
      </c>
      <c r="G186" s="83" t="s">
        <v>549</v>
      </c>
      <c r="H186" s="94" t="s">
        <v>94</v>
      </c>
      <c r="I186" s="91"/>
    </row>
    <row r="187" spans="1:9" x14ac:dyDescent="0.3">
      <c r="A187" s="92">
        <v>45067</v>
      </c>
      <c r="B187" s="96">
        <v>1900</v>
      </c>
      <c r="C187" s="82" t="s">
        <v>38</v>
      </c>
      <c r="D187" s="82" t="s">
        <v>92</v>
      </c>
      <c r="E187" s="82" t="s">
        <v>93</v>
      </c>
      <c r="F187" s="82" t="s">
        <v>39</v>
      </c>
      <c r="G187" s="83" t="s">
        <v>550</v>
      </c>
      <c r="H187" s="94" t="s">
        <v>94</v>
      </c>
      <c r="I187" s="91"/>
    </row>
    <row r="188" spans="1:9" x14ac:dyDescent="0.3">
      <c r="A188" s="92">
        <v>45070</v>
      </c>
      <c r="B188" s="96">
        <v>190</v>
      </c>
      <c r="C188" s="82" t="s">
        <v>38</v>
      </c>
      <c r="D188" s="82" t="s">
        <v>312</v>
      </c>
      <c r="E188" s="82" t="s">
        <v>140</v>
      </c>
      <c r="F188" s="82" t="s">
        <v>39</v>
      </c>
      <c r="G188" s="83" t="s">
        <v>551</v>
      </c>
      <c r="H188" s="94" t="s">
        <v>94</v>
      </c>
      <c r="I188" s="91"/>
    </row>
    <row r="189" spans="1:9" x14ac:dyDescent="0.3">
      <c r="A189" s="92">
        <v>45075</v>
      </c>
      <c r="B189" s="96">
        <v>380</v>
      </c>
      <c r="C189" s="82" t="s">
        <v>38</v>
      </c>
      <c r="D189" s="82" t="s">
        <v>271</v>
      </c>
      <c r="E189" s="82" t="s">
        <v>272</v>
      </c>
      <c r="F189" s="82" t="s">
        <v>39</v>
      </c>
      <c r="G189" s="83" t="s">
        <v>321</v>
      </c>
      <c r="H189" s="94" t="s">
        <v>94</v>
      </c>
      <c r="I189" s="91"/>
    </row>
    <row r="190" spans="1:9" x14ac:dyDescent="0.3">
      <c r="A190" s="92">
        <v>45077</v>
      </c>
      <c r="B190" s="96">
        <v>190</v>
      </c>
      <c r="C190" s="82" t="s">
        <v>38</v>
      </c>
      <c r="D190" s="82" t="s">
        <v>137</v>
      </c>
      <c r="E190" s="82" t="s">
        <v>138</v>
      </c>
      <c r="F190" s="82" t="s">
        <v>39</v>
      </c>
      <c r="G190" s="83" t="s">
        <v>139</v>
      </c>
      <c r="H190" s="94" t="s">
        <v>94</v>
      </c>
      <c r="I190" s="91"/>
    </row>
    <row r="191" spans="1:9" x14ac:dyDescent="0.3">
      <c r="A191" s="92">
        <v>45078</v>
      </c>
      <c r="B191" s="96">
        <v>380</v>
      </c>
      <c r="C191" s="82" t="s">
        <v>38</v>
      </c>
      <c r="D191" s="82" t="s">
        <v>101</v>
      </c>
      <c r="E191" s="82" t="s">
        <v>102</v>
      </c>
      <c r="F191" s="82" t="s">
        <v>39</v>
      </c>
      <c r="G191" s="83" t="s">
        <v>103</v>
      </c>
      <c r="H191" s="94" t="s">
        <v>94</v>
      </c>
      <c r="I191" s="91"/>
    </row>
    <row r="192" spans="1:9" x14ac:dyDescent="0.3">
      <c r="A192" s="92">
        <v>45078</v>
      </c>
      <c r="B192" s="96">
        <v>190</v>
      </c>
      <c r="C192" s="82" t="s">
        <v>38</v>
      </c>
      <c r="D192" s="82" t="s">
        <v>98</v>
      </c>
      <c r="E192" s="82" t="s">
        <v>99</v>
      </c>
      <c r="F192" s="82" t="s">
        <v>39</v>
      </c>
      <c r="G192" s="83" t="s">
        <v>100</v>
      </c>
      <c r="H192" s="94" t="s">
        <v>94</v>
      </c>
      <c r="I192" s="91"/>
    </row>
    <row r="193" spans="1:9" x14ac:dyDescent="0.3">
      <c r="A193" s="92">
        <v>45078</v>
      </c>
      <c r="B193" s="96">
        <v>380</v>
      </c>
      <c r="C193" s="82" t="s">
        <v>38</v>
      </c>
      <c r="D193" s="82" t="s">
        <v>95</v>
      </c>
      <c r="E193" s="82" t="s">
        <v>96</v>
      </c>
      <c r="F193" s="82" t="s">
        <v>39</v>
      </c>
      <c r="G193" s="83" t="s">
        <v>97</v>
      </c>
      <c r="H193" s="94" t="s">
        <v>94</v>
      </c>
      <c r="I193" s="91"/>
    </row>
    <row r="194" spans="1:9" x14ac:dyDescent="0.3">
      <c r="A194" s="92">
        <v>45078</v>
      </c>
      <c r="B194" s="96">
        <v>760</v>
      </c>
      <c r="C194" s="82" t="s">
        <v>38</v>
      </c>
      <c r="D194" s="82" t="s">
        <v>552</v>
      </c>
      <c r="E194" s="82" t="s">
        <v>553</v>
      </c>
      <c r="F194" s="82" t="s">
        <v>39</v>
      </c>
      <c r="G194" s="83" t="s">
        <v>554</v>
      </c>
      <c r="H194" s="94" t="s">
        <v>94</v>
      </c>
      <c r="I194" s="91"/>
    </row>
    <row r="195" spans="1:9" x14ac:dyDescent="0.3">
      <c r="A195" s="92">
        <v>45106</v>
      </c>
      <c r="B195" s="96">
        <v>380</v>
      </c>
      <c r="C195" s="82" t="s">
        <v>38</v>
      </c>
      <c r="D195" s="82" t="s">
        <v>59</v>
      </c>
      <c r="E195" s="82" t="s">
        <v>60</v>
      </c>
      <c r="F195" s="82" t="s">
        <v>39</v>
      </c>
      <c r="G195" s="83" t="s">
        <v>555</v>
      </c>
      <c r="H195" s="94" t="s">
        <v>94</v>
      </c>
      <c r="I195" s="91"/>
    </row>
    <row r="196" spans="1:9" x14ac:dyDescent="0.3">
      <c r="A196" s="92">
        <v>45110</v>
      </c>
      <c r="B196" s="96">
        <v>380</v>
      </c>
      <c r="C196" s="82" t="s">
        <v>38</v>
      </c>
      <c r="D196" s="82" t="s">
        <v>144</v>
      </c>
      <c r="E196" s="82" t="s">
        <v>145</v>
      </c>
      <c r="F196" s="82" t="s">
        <v>39</v>
      </c>
      <c r="G196" s="83" t="s">
        <v>118</v>
      </c>
      <c r="H196" s="94" t="s">
        <v>94</v>
      </c>
      <c r="I196" s="91"/>
    </row>
    <row r="197" spans="1:9" x14ac:dyDescent="0.3">
      <c r="A197" s="92">
        <v>45111</v>
      </c>
      <c r="B197" s="96">
        <v>190</v>
      </c>
      <c r="C197" s="82" t="s">
        <v>38</v>
      </c>
      <c r="D197" s="82" t="s">
        <v>556</v>
      </c>
      <c r="E197" s="82" t="s">
        <v>557</v>
      </c>
      <c r="F197" s="82" t="s">
        <v>39</v>
      </c>
      <c r="G197" s="83" t="s">
        <v>558</v>
      </c>
      <c r="H197" s="94" t="s">
        <v>94</v>
      </c>
      <c r="I197" s="91"/>
    </row>
    <row r="198" spans="1:9" x14ac:dyDescent="0.3">
      <c r="A198" s="92">
        <v>45132</v>
      </c>
      <c r="B198" s="96">
        <v>190</v>
      </c>
      <c r="C198" s="82" t="s">
        <v>38</v>
      </c>
      <c r="D198" s="82" t="s">
        <v>108</v>
      </c>
      <c r="E198" s="82" t="s">
        <v>109</v>
      </c>
      <c r="F198" s="82" t="s">
        <v>39</v>
      </c>
      <c r="G198" s="83" t="s">
        <v>110</v>
      </c>
      <c r="H198" s="94" t="s">
        <v>94</v>
      </c>
      <c r="I198" s="91"/>
    </row>
    <row r="199" spans="1:9" x14ac:dyDescent="0.3">
      <c r="A199" s="92">
        <v>45134</v>
      </c>
      <c r="B199" s="96">
        <v>500</v>
      </c>
      <c r="C199" s="82" t="s">
        <v>38</v>
      </c>
      <c r="D199" s="82" t="s">
        <v>106</v>
      </c>
      <c r="E199" s="82" t="s">
        <v>107</v>
      </c>
      <c r="F199" s="82" t="s">
        <v>39</v>
      </c>
      <c r="G199" s="83" t="s">
        <v>559</v>
      </c>
      <c r="H199" s="94" t="s">
        <v>94</v>
      </c>
      <c r="I199" s="91"/>
    </row>
    <row r="200" spans="1:9" x14ac:dyDescent="0.3">
      <c r="A200" s="92">
        <v>45134</v>
      </c>
      <c r="B200" s="96">
        <v>190</v>
      </c>
      <c r="C200" s="82" t="s">
        <v>38</v>
      </c>
      <c r="D200" s="82" t="s">
        <v>111</v>
      </c>
      <c r="E200" s="82" t="s">
        <v>112</v>
      </c>
      <c r="F200" s="82" t="s">
        <v>39</v>
      </c>
      <c r="G200" s="83" t="s">
        <v>113</v>
      </c>
      <c r="H200" s="94" t="s">
        <v>94</v>
      </c>
      <c r="I200" s="91"/>
    </row>
    <row r="201" spans="1:9" x14ac:dyDescent="0.3">
      <c r="A201" s="92">
        <v>45136</v>
      </c>
      <c r="B201" s="96">
        <v>380</v>
      </c>
      <c r="C201" s="82" t="s">
        <v>38</v>
      </c>
      <c r="D201" s="82" t="s">
        <v>141</v>
      </c>
      <c r="E201" s="82" t="s">
        <v>142</v>
      </c>
      <c r="F201" s="82" t="s">
        <v>39</v>
      </c>
      <c r="G201" s="83" t="s">
        <v>143</v>
      </c>
      <c r="H201" s="94" t="s">
        <v>94</v>
      </c>
      <c r="I201" s="91"/>
    </row>
    <row r="202" spans="1:9" x14ac:dyDescent="0.3">
      <c r="A202" s="92">
        <v>45139</v>
      </c>
      <c r="B202" s="96">
        <v>380</v>
      </c>
      <c r="C202" s="82" t="s">
        <v>38</v>
      </c>
      <c r="D202" s="82" t="s">
        <v>126</v>
      </c>
      <c r="E202" s="82" t="s">
        <v>117</v>
      </c>
      <c r="F202" s="82" t="s">
        <v>39</v>
      </c>
      <c r="G202" s="83" t="s">
        <v>308</v>
      </c>
      <c r="H202" s="94" t="s">
        <v>94</v>
      </c>
      <c r="I202" s="91"/>
    </row>
    <row r="203" spans="1:9" x14ac:dyDescent="0.3">
      <c r="A203" s="92">
        <v>45139</v>
      </c>
      <c r="B203" s="96">
        <v>380</v>
      </c>
      <c r="C203" s="82" t="s">
        <v>38</v>
      </c>
      <c r="D203" s="82" t="s">
        <v>126</v>
      </c>
      <c r="E203" s="82" t="s">
        <v>117</v>
      </c>
      <c r="F203" s="82" t="s">
        <v>39</v>
      </c>
      <c r="G203" s="83" t="s">
        <v>120</v>
      </c>
      <c r="H203" s="94" t="s">
        <v>94</v>
      </c>
      <c r="I203" s="91"/>
    </row>
    <row r="204" spans="1:9" x14ac:dyDescent="0.3">
      <c r="A204" s="92">
        <v>45139</v>
      </c>
      <c r="B204" s="96">
        <v>380</v>
      </c>
      <c r="C204" s="82" t="s">
        <v>38</v>
      </c>
      <c r="D204" s="82" t="s">
        <v>126</v>
      </c>
      <c r="E204" s="82" t="s">
        <v>117</v>
      </c>
      <c r="F204" s="82" t="s">
        <v>39</v>
      </c>
      <c r="G204" s="83" t="s">
        <v>118</v>
      </c>
      <c r="H204" s="94" t="s">
        <v>94</v>
      </c>
      <c r="I204" s="91"/>
    </row>
    <row r="205" spans="1:9" x14ac:dyDescent="0.3">
      <c r="A205" s="92">
        <v>45139</v>
      </c>
      <c r="B205" s="96">
        <v>380</v>
      </c>
      <c r="C205" s="82" t="s">
        <v>38</v>
      </c>
      <c r="D205" s="82" t="s">
        <v>90</v>
      </c>
      <c r="E205" s="82" t="s">
        <v>91</v>
      </c>
      <c r="F205" s="82" t="s">
        <v>39</v>
      </c>
      <c r="G205" s="83" t="s">
        <v>116</v>
      </c>
      <c r="H205" s="94" t="s">
        <v>94</v>
      </c>
      <c r="I205" s="91"/>
    </row>
    <row r="206" spans="1:9" x14ac:dyDescent="0.3">
      <c r="A206" s="92">
        <v>45139</v>
      </c>
      <c r="B206" s="96">
        <v>190</v>
      </c>
      <c r="C206" s="82" t="s">
        <v>38</v>
      </c>
      <c r="D206" s="82" t="s">
        <v>127</v>
      </c>
      <c r="E206" s="82" t="s">
        <v>128</v>
      </c>
      <c r="F206" s="82" t="s">
        <v>39</v>
      </c>
      <c r="G206" s="83" t="s">
        <v>310</v>
      </c>
      <c r="H206" s="94" t="s">
        <v>94</v>
      </c>
      <c r="I206" s="91"/>
    </row>
    <row r="207" spans="1:9" x14ac:dyDescent="0.3">
      <c r="A207" s="92">
        <v>45139</v>
      </c>
      <c r="B207" s="96">
        <v>380</v>
      </c>
      <c r="C207" s="82" t="s">
        <v>38</v>
      </c>
      <c r="D207" s="82" t="s">
        <v>114</v>
      </c>
      <c r="E207" s="82" t="s">
        <v>56</v>
      </c>
      <c r="F207" s="82" t="s">
        <v>39</v>
      </c>
      <c r="G207" s="83" t="s">
        <v>115</v>
      </c>
      <c r="H207" s="94" t="s">
        <v>94</v>
      </c>
      <c r="I207" s="91"/>
    </row>
    <row r="208" spans="1:9" x14ac:dyDescent="0.3">
      <c r="A208" s="92">
        <v>45139</v>
      </c>
      <c r="B208" s="96">
        <v>190</v>
      </c>
      <c r="C208" s="82" t="s">
        <v>38</v>
      </c>
      <c r="D208" s="82" t="s">
        <v>132</v>
      </c>
      <c r="E208" s="82" t="s">
        <v>133</v>
      </c>
      <c r="F208" s="82" t="s">
        <v>39</v>
      </c>
      <c r="G208" s="83" t="s">
        <v>113</v>
      </c>
      <c r="H208" s="94" t="s">
        <v>94</v>
      </c>
      <c r="I208" s="91"/>
    </row>
    <row r="209" spans="1:9" x14ac:dyDescent="0.3">
      <c r="A209" s="92">
        <v>45139</v>
      </c>
      <c r="B209" s="96">
        <v>380</v>
      </c>
      <c r="C209" s="82" t="s">
        <v>38</v>
      </c>
      <c r="D209" s="82" t="s">
        <v>134</v>
      </c>
      <c r="E209" s="82" t="s">
        <v>135</v>
      </c>
      <c r="F209" s="82" t="s">
        <v>39</v>
      </c>
      <c r="G209" s="83" t="s">
        <v>309</v>
      </c>
      <c r="H209" s="94" t="s">
        <v>94</v>
      </c>
      <c r="I209" s="91"/>
    </row>
    <row r="210" spans="1:9" x14ac:dyDescent="0.3">
      <c r="A210" s="92">
        <v>45139</v>
      </c>
      <c r="B210" s="96">
        <v>380</v>
      </c>
      <c r="C210" s="82" t="s">
        <v>38</v>
      </c>
      <c r="D210" s="82" t="s">
        <v>124</v>
      </c>
      <c r="E210" s="82" t="s">
        <v>125</v>
      </c>
      <c r="F210" s="82" t="s">
        <v>39</v>
      </c>
      <c r="G210" s="83" t="s">
        <v>113</v>
      </c>
      <c r="H210" s="94" t="s">
        <v>94</v>
      </c>
      <c r="I210" s="91"/>
    </row>
    <row r="211" spans="1:9" x14ac:dyDescent="0.3">
      <c r="A211" s="92">
        <v>45139</v>
      </c>
      <c r="B211" s="96">
        <v>380</v>
      </c>
      <c r="C211" s="82" t="s">
        <v>38</v>
      </c>
      <c r="D211" s="82" t="s">
        <v>121</v>
      </c>
      <c r="E211" s="82" t="s">
        <v>122</v>
      </c>
      <c r="F211" s="82" t="s">
        <v>39</v>
      </c>
      <c r="G211" s="83" t="s">
        <v>123</v>
      </c>
      <c r="H211" s="94" t="s">
        <v>94</v>
      </c>
      <c r="I211" s="91"/>
    </row>
    <row r="212" spans="1:9" x14ac:dyDescent="0.3">
      <c r="A212" s="92">
        <v>45139</v>
      </c>
      <c r="B212" s="96">
        <v>1330</v>
      </c>
      <c r="C212" s="82" t="s">
        <v>38</v>
      </c>
      <c r="D212" s="82" t="s">
        <v>46</v>
      </c>
      <c r="E212" s="82" t="s">
        <v>560</v>
      </c>
      <c r="F212" s="82" t="s">
        <v>39</v>
      </c>
      <c r="G212" s="83" t="s">
        <v>119</v>
      </c>
      <c r="H212" s="94" t="s">
        <v>94</v>
      </c>
      <c r="I212" s="91"/>
    </row>
    <row r="213" spans="1:9" x14ac:dyDescent="0.3">
      <c r="A213" s="92">
        <v>45146</v>
      </c>
      <c r="B213" s="96">
        <v>380</v>
      </c>
      <c r="C213" s="82" t="s">
        <v>38</v>
      </c>
      <c r="D213" s="82" t="s">
        <v>104</v>
      </c>
      <c r="E213" s="82" t="s">
        <v>105</v>
      </c>
      <c r="F213" s="82" t="s">
        <v>39</v>
      </c>
      <c r="G213" s="83" t="s">
        <v>318</v>
      </c>
      <c r="H213" s="94" t="s">
        <v>94</v>
      </c>
      <c r="I213" s="91"/>
    </row>
    <row r="214" spans="1:9" x14ac:dyDescent="0.3">
      <c r="A214" s="92">
        <v>45170</v>
      </c>
      <c r="B214" s="96">
        <v>380</v>
      </c>
      <c r="C214" s="82" t="s">
        <v>38</v>
      </c>
      <c r="D214" s="82" t="s">
        <v>129</v>
      </c>
      <c r="E214" s="82" t="s">
        <v>130</v>
      </c>
      <c r="F214" s="82" t="s">
        <v>39</v>
      </c>
      <c r="G214" s="83" t="s">
        <v>131</v>
      </c>
      <c r="H214" s="94" t="s">
        <v>94</v>
      </c>
      <c r="I214" s="91"/>
    </row>
    <row r="215" spans="1:9" x14ac:dyDescent="0.3">
      <c r="A215" s="92">
        <v>45188</v>
      </c>
      <c r="B215" s="96">
        <v>380</v>
      </c>
      <c r="C215" s="82" t="s">
        <v>38</v>
      </c>
      <c r="D215" s="82" t="s">
        <v>88</v>
      </c>
      <c r="E215" s="82" t="s">
        <v>89</v>
      </c>
      <c r="F215" s="82" t="s">
        <v>39</v>
      </c>
      <c r="G215" s="83" t="s">
        <v>561</v>
      </c>
      <c r="H215" s="94" t="s">
        <v>94</v>
      </c>
      <c r="I215" s="91"/>
    </row>
    <row r="216" spans="1:9" x14ac:dyDescent="0.3">
      <c r="A216" s="92">
        <v>45188</v>
      </c>
      <c r="B216" s="96">
        <v>190</v>
      </c>
      <c r="C216" s="82" t="s">
        <v>38</v>
      </c>
      <c r="D216" s="82" t="s">
        <v>57</v>
      </c>
      <c r="E216" s="82" t="s">
        <v>58</v>
      </c>
      <c r="F216" s="82" t="s">
        <v>39</v>
      </c>
      <c r="G216" s="83" t="s">
        <v>562</v>
      </c>
      <c r="H216" s="94" t="s">
        <v>94</v>
      </c>
      <c r="I216" s="91"/>
    </row>
    <row r="217" spans="1:9" x14ac:dyDescent="0.3">
      <c r="A217" s="92">
        <v>45188</v>
      </c>
      <c r="B217" s="96">
        <v>190</v>
      </c>
      <c r="C217" s="82" t="s">
        <v>38</v>
      </c>
      <c r="D217" s="82" t="s">
        <v>54</v>
      </c>
      <c r="E217" s="82" t="s">
        <v>55</v>
      </c>
      <c r="F217" s="82" t="s">
        <v>39</v>
      </c>
      <c r="G217" s="83" t="s">
        <v>563</v>
      </c>
      <c r="H217" s="94" t="s">
        <v>94</v>
      </c>
      <c r="I217" s="91"/>
    </row>
    <row r="218" spans="1:9" x14ac:dyDescent="0.3">
      <c r="A218" s="92">
        <v>45190</v>
      </c>
      <c r="B218" s="96">
        <v>190</v>
      </c>
      <c r="C218" s="82" t="s">
        <v>38</v>
      </c>
      <c r="D218" s="82" t="s">
        <v>87</v>
      </c>
      <c r="E218" s="82" t="s">
        <v>446</v>
      </c>
      <c r="F218" s="82" t="s">
        <v>39</v>
      </c>
      <c r="H218" s="94" t="s">
        <v>94</v>
      </c>
      <c r="I218" s="91"/>
    </row>
    <row r="219" spans="1:9" x14ac:dyDescent="0.3">
      <c r="A219" s="92">
        <v>45191</v>
      </c>
      <c r="B219" s="96">
        <v>380</v>
      </c>
      <c r="C219" s="82" t="s">
        <v>38</v>
      </c>
      <c r="D219" s="82" t="s">
        <v>136</v>
      </c>
      <c r="E219" s="82" t="s">
        <v>311</v>
      </c>
      <c r="F219" s="82" t="s">
        <v>39</v>
      </c>
      <c r="G219" s="83" t="s">
        <v>564</v>
      </c>
      <c r="H219" s="94" t="s">
        <v>94</v>
      </c>
      <c r="I219" s="91"/>
    </row>
    <row r="220" spans="1:9" x14ac:dyDescent="0.3">
      <c r="A220" s="92">
        <v>45195</v>
      </c>
      <c r="B220" s="96">
        <v>380</v>
      </c>
      <c r="C220" s="82" t="s">
        <v>38</v>
      </c>
      <c r="D220" s="82" t="s">
        <v>80</v>
      </c>
      <c r="E220" s="82" t="s">
        <v>81</v>
      </c>
      <c r="F220" s="82" t="s">
        <v>39</v>
      </c>
      <c r="G220" s="83" t="s">
        <v>313</v>
      </c>
      <c r="H220" s="94" t="s">
        <v>94</v>
      </c>
      <c r="I220" s="91"/>
    </row>
    <row r="221" spans="1:9" x14ac:dyDescent="0.3">
      <c r="A221" s="92">
        <v>45212</v>
      </c>
      <c r="B221" s="96">
        <v>380</v>
      </c>
      <c r="C221" s="82" t="s">
        <v>38</v>
      </c>
      <c r="D221" s="82" t="s">
        <v>314</v>
      </c>
      <c r="E221" s="82" t="s">
        <v>315</v>
      </c>
      <c r="F221" s="82" t="s">
        <v>39</v>
      </c>
      <c r="G221" s="83" t="s">
        <v>316</v>
      </c>
      <c r="H221" s="94" t="s">
        <v>94</v>
      </c>
      <c r="I221" s="91"/>
    </row>
    <row r="222" spans="1:9" x14ac:dyDescent="0.3">
      <c r="A222" s="92">
        <v>45215</v>
      </c>
      <c r="B222" s="96">
        <v>380</v>
      </c>
      <c r="C222" s="82" t="s">
        <v>38</v>
      </c>
      <c r="D222" s="82" t="s">
        <v>565</v>
      </c>
      <c r="E222" s="82" t="s">
        <v>566</v>
      </c>
      <c r="F222" s="82" t="s">
        <v>39</v>
      </c>
      <c r="G222" s="83" t="s">
        <v>317</v>
      </c>
      <c r="H222" s="94" t="s">
        <v>94</v>
      </c>
      <c r="I222" s="91"/>
    </row>
    <row r="223" spans="1:9" x14ac:dyDescent="0.3">
      <c r="A223" s="92">
        <v>45261</v>
      </c>
      <c r="B223" s="96">
        <v>190</v>
      </c>
      <c r="C223" s="82" t="s">
        <v>38</v>
      </c>
      <c r="D223" s="82" t="s">
        <v>319</v>
      </c>
      <c r="E223" s="82" t="s">
        <v>320</v>
      </c>
      <c r="F223" s="82" t="s">
        <v>39</v>
      </c>
      <c r="G223" s="83" t="s">
        <v>567</v>
      </c>
      <c r="H223" s="94" t="s">
        <v>94</v>
      </c>
      <c r="I223" s="91"/>
    </row>
    <row r="224" spans="1:9" x14ac:dyDescent="0.3">
      <c r="A224" s="92">
        <v>45284</v>
      </c>
      <c r="B224" s="97">
        <v>380</v>
      </c>
      <c r="C224" s="82" t="s">
        <v>38</v>
      </c>
      <c r="D224" s="82" t="s">
        <v>61</v>
      </c>
      <c r="E224" s="82" t="s">
        <v>62</v>
      </c>
      <c r="F224" s="82" t="s">
        <v>39</v>
      </c>
      <c r="G224" s="83" t="s">
        <v>568</v>
      </c>
      <c r="H224" s="94" t="s">
        <v>94</v>
      </c>
      <c r="I224" s="91"/>
    </row>
    <row r="225" spans="1:9" x14ac:dyDescent="0.3">
      <c r="A225" s="92"/>
      <c r="B225" s="95">
        <f>SUM(B181:B224)</f>
        <v>16650</v>
      </c>
      <c r="C225" s="82"/>
      <c r="D225" s="82"/>
      <c r="E225" s="82"/>
      <c r="F225" s="82"/>
      <c r="H225" s="94"/>
      <c r="I225" s="91"/>
    </row>
    <row r="226" spans="1:9" x14ac:dyDescent="0.3">
      <c r="A226" s="92"/>
      <c r="B226" s="96"/>
      <c r="C226" s="82"/>
      <c r="D226" s="82"/>
      <c r="E226" s="82"/>
      <c r="F226" s="82"/>
      <c r="H226" s="94"/>
      <c r="I226" s="91"/>
    </row>
    <row r="227" spans="1:9" x14ac:dyDescent="0.3">
      <c r="A227" s="92">
        <v>44928</v>
      </c>
      <c r="B227" s="96">
        <v>380</v>
      </c>
      <c r="C227" s="82" t="s">
        <v>38</v>
      </c>
      <c r="D227" s="82" t="s">
        <v>144</v>
      </c>
      <c r="E227" s="82" t="s">
        <v>145</v>
      </c>
      <c r="F227" s="82" t="s">
        <v>39</v>
      </c>
      <c r="G227" s="83" t="s">
        <v>118</v>
      </c>
      <c r="H227" s="94" t="s">
        <v>324</v>
      </c>
      <c r="I227" s="91"/>
    </row>
    <row r="228" spans="1:9" x14ac:dyDescent="0.3">
      <c r="A228" s="92">
        <v>45139</v>
      </c>
      <c r="B228" s="96">
        <f>570</f>
        <v>570</v>
      </c>
      <c r="C228" s="82" t="s">
        <v>38</v>
      </c>
      <c r="D228" s="82" t="s">
        <v>46</v>
      </c>
      <c r="E228" s="82" t="s">
        <v>43</v>
      </c>
      <c r="F228" s="82" t="s">
        <v>39</v>
      </c>
      <c r="G228" s="83" t="s">
        <v>119</v>
      </c>
      <c r="H228" s="94" t="s">
        <v>324</v>
      </c>
      <c r="I228" s="91"/>
    </row>
    <row r="229" spans="1:9" x14ac:dyDescent="0.3">
      <c r="A229" s="92">
        <v>45187</v>
      </c>
      <c r="B229" s="97">
        <v>380</v>
      </c>
      <c r="C229" s="82" t="s">
        <v>38</v>
      </c>
      <c r="D229" s="82" t="s">
        <v>68</v>
      </c>
      <c r="E229" s="82" t="s">
        <v>69</v>
      </c>
      <c r="F229" s="82" t="s">
        <v>39</v>
      </c>
      <c r="G229" s="83" t="s">
        <v>569</v>
      </c>
      <c r="H229" s="94" t="s">
        <v>324</v>
      </c>
      <c r="I229" s="91"/>
    </row>
    <row r="230" spans="1:9" x14ac:dyDescent="0.3">
      <c r="A230" s="92"/>
      <c r="B230" s="95">
        <f>SUM(B227:B229)</f>
        <v>1330</v>
      </c>
      <c r="C230" s="82"/>
      <c r="D230" s="82"/>
      <c r="E230" s="82"/>
      <c r="F230" s="82"/>
      <c r="H230" s="94"/>
      <c r="I230" s="91"/>
    </row>
    <row r="231" spans="1:9" x14ac:dyDescent="0.3">
      <c r="A231" s="92"/>
      <c r="B231" s="96"/>
      <c r="C231" s="82"/>
      <c r="D231" s="82"/>
      <c r="E231" s="82"/>
      <c r="F231" s="82"/>
      <c r="H231" s="94"/>
      <c r="I231" s="91"/>
    </row>
    <row r="232" spans="1:9" x14ac:dyDescent="0.3">
      <c r="A232" s="92">
        <v>45003</v>
      </c>
      <c r="B232" s="97">
        <v>154</v>
      </c>
      <c r="C232" s="82" t="s">
        <v>38</v>
      </c>
      <c r="D232" s="82" t="s">
        <v>57</v>
      </c>
      <c r="E232" s="82" t="s">
        <v>58</v>
      </c>
      <c r="F232" s="82" t="s">
        <v>39</v>
      </c>
      <c r="G232" s="83" t="s">
        <v>570</v>
      </c>
      <c r="H232" s="94" t="s">
        <v>571</v>
      </c>
      <c r="I232" s="91"/>
    </row>
    <row r="233" spans="1:9" x14ac:dyDescent="0.3">
      <c r="A233" s="92"/>
      <c r="B233" s="95">
        <f>SUM(B232)</f>
        <v>154</v>
      </c>
      <c r="C233" s="82"/>
      <c r="D233" s="82"/>
      <c r="E233" s="82"/>
      <c r="F233" s="82"/>
      <c r="H233" s="94"/>
      <c r="I233" s="91"/>
    </row>
    <row r="234" spans="1:9" x14ac:dyDescent="0.3">
      <c r="A234" s="92"/>
      <c r="B234" s="96"/>
      <c r="C234" s="82"/>
      <c r="D234" s="82"/>
      <c r="E234" s="82"/>
      <c r="F234" s="82"/>
      <c r="H234" s="94"/>
      <c r="I234" s="91"/>
    </row>
    <row r="235" spans="1:9" x14ac:dyDescent="0.3">
      <c r="A235" s="92">
        <v>44952</v>
      </c>
      <c r="B235" s="97">
        <v>1700</v>
      </c>
      <c r="C235" s="82" t="s">
        <v>38</v>
      </c>
      <c r="D235" s="82" t="s">
        <v>572</v>
      </c>
      <c r="E235" s="82" t="s">
        <v>573</v>
      </c>
      <c r="F235" s="82" t="s">
        <v>39</v>
      </c>
      <c r="G235" s="83" t="s">
        <v>574</v>
      </c>
      <c r="H235" s="94" t="s">
        <v>575</v>
      </c>
      <c r="I235" s="91"/>
    </row>
    <row r="236" spans="1:9" x14ac:dyDescent="0.3">
      <c r="A236" s="92"/>
      <c r="B236" s="95">
        <f>SUM(B235)</f>
        <v>1700</v>
      </c>
      <c r="C236" s="82"/>
      <c r="D236" s="82"/>
      <c r="E236" s="82"/>
      <c r="F236" s="82"/>
      <c r="H236" s="82"/>
      <c r="I236" s="91"/>
    </row>
    <row r="237" spans="1:9" x14ac:dyDescent="0.3">
      <c r="A237" s="92"/>
      <c r="B237" s="95"/>
      <c r="C237" s="82"/>
      <c r="D237" s="82"/>
      <c r="E237" s="82"/>
      <c r="F237" s="82"/>
      <c r="H237" s="82"/>
      <c r="I237" s="91"/>
    </row>
    <row r="238" spans="1:9" x14ac:dyDescent="0.3">
      <c r="A238" s="98" t="s">
        <v>153</v>
      </c>
      <c r="B238" s="99">
        <f>B3+B6+B22+B27+B63+B66+B74+B79+B94+B98+B156+B165+B172+B175+B179+B225+B230+B233+B236</f>
        <v>168170.79</v>
      </c>
      <c r="C238" s="91" t="s">
        <v>576</v>
      </c>
      <c r="D238" s="82"/>
      <c r="E238" s="82"/>
      <c r="F238" s="82"/>
      <c r="H238" s="82"/>
      <c r="I238" s="91"/>
    </row>
    <row r="239" spans="1:9" x14ac:dyDescent="0.3">
      <c r="A239" s="98"/>
      <c r="B239" s="96"/>
      <c r="C239" s="82"/>
      <c r="D239" s="82"/>
      <c r="E239" s="82"/>
      <c r="F239" s="82"/>
      <c r="H239" s="82"/>
      <c r="I239" s="91"/>
    </row>
    <row r="240" spans="1:9" x14ac:dyDescent="0.3">
      <c r="A240" s="92"/>
      <c r="B240" s="95"/>
      <c r="C240" s="82"/>
      <c r="D240" s="82"/>
      <c r="E240" s="82"/>
      <c r="F240" s="82"/>
      <c r="H240" s="82"/>
      <c r="I240" s="91"/>
    </row>
    <row r="241" spans="1:9" x14ac:dyDescent="0.3">
      <c r="A241" s="100" t="s">
        <v>31</v>
      </c>
      <c r="B241" s="101" t="s">
        <v>32</v>
      </c>
      <c r="C241" s="102" t="s">
        <v>33</v>
      </c>
      <c r="D241" s="103" t="s">
        <v>34</v>
      </c>
      <c r="E241" s="104" t="s">
        <v>35</v>
      </c>
      <c r="F241" s="104" t="s">
        <v>36</v>
      </c>
      <c r="G241" s="103" t="s">
        <v>37</v>
      </c>
      <c r="H241" s="105" t="s">
        <v>240</v>
      </c>
      <c r="I241" s="91"/>
    </row>
    <row r="242" spans="1:9" x14ac:dyDescent="0.3">
      <c r="A242" s="92">
        <v>45139</v>
      </c>
      <c r="B242" s="96">
        <v>10200</v>
      </c>
      <c r="C242" s="82" t="s">
        <v>154</v>
      </c>
      <c r="D242" s="82" t="s">
        <v>325</v>
      </c>
      <c r="E242" s="82" t="s">
        <v>326</v>
      </c>
      <c r="F242" s="82" t="s">
        <v>39</v>
      </c>
      <c r="G242" s="83" t="s">
        <v>577</v>
      </c>
      <c r="H242" s="94" t="s">
        <v>327</v>
      </c>
      <c r="I242" s="91"/>
    </row>
    <row r="243" spans="1:9" x14ac:dyDescent="0.3">
      <c r="A243" s="92">
        <v>45176</v>
      </c>
      <c r="B243" s="96">
        <v>6165</v>
      </c>
      <c r="C243" s="82" t="s">
        <v>154</v>
      </c>
      <c r="D243" s="82" t="s">
        <v>80</v>
      </c>
      <c r="E243" s="82" t="s">
        <v>81</v>
      </c>
      <c r="F243" s="82" t="s">
        <v>39</v>
      </c>
      <c r="G243" s="83" t="s">
        <v>578</v>
      </c>
      <c r="H243" s="94" t="s">
        <v>579</v>
      </c>
      <c r="I243" s="91"/>
    </row>
    <row r="244" spans="1:9" x14ac:dyDescent="0.3">
      <c r="A244" s="92">
        <v>45068</v>
      </c>
      <c r="B244" s="96">
        <v>10250</v>
      </c>
      <c r="C244" s="82" t="s">
        <v>154</v>
      </c>
      <c r="D244" s="82" t="s">
        <v>580</v>
      </c>
      <c r="E244" s="82" t="s">
        <v>89</v>
      </c>
      <c r="F244" s="82" t="s">
        <v>39</v>
      </c>
      <c r="G244" s="83" t="s">
        <v>581</v>
      </c>
      <c r="H244" s="94" t="s">
        <v>582</v>
      </c>
      <c r="I244" s="91"/>
    </row>
    <row r="245" spans="1:9" x14ac:dyDescent="0.3">
      <c r="A245" s="92">
        <v>45009</v>
      </c>
      <c r="B245" s="96">
        <v>20600</v>
      </c>
      <c r="C245" s="82" t="s">
        <v>154</v>
      </c>
      <c r="D245" s="82" t="s">
        <v>307</v>
      </c>
      <c r="E245" s="82" t="s">
        <v>407</v>
      </c>
      <c r="F245" s="82" t="s">
        <v>39</v>
      </c>
      <c r="G245" s="83" t="s">
        <v>583</v>
      </c>
      <c r="H245" s="94" t="s">
        <v>584</v>
      </c>
      <c r="I245" s="91"/>
    </row>
    <row r="246" spans="1:9" x14ac:dyDescent="0.3">
      <c r="A246" s="92">
        <v>45109</v>
      </c>
      <c r="B246" s="97">
        <v>10130</v>
      </c>
      <c r="C246" s="82" t="s">
        <v>154</v>
      </c>
      <c r="D246" s="82" t="s">
        <v>307</v>
      </c>
      <c r="E246" s="82" t="s">
        <v>407</v>
      </c>
      <c r="F246" s="82" t="s">
        <v>39</v>
      </c>
      <c r="G246" s="83" t="s">
        <v>585</v>
      </c>
      <c r="H246" s="94" t="s">
        <v>584</v>
      </c>
      <c r="I246" s="91"/>
    </row>
    <row r="247" spans="1:9" x14ac:dyDescent="0.3">
      <c r="A247" s="92"/>
      <c r="B247" s="95">
        <f>SUM(B242:B246)</f>
        <v>57345</v>
      </c>
      <c r="C247" s="82"/>
      <c r="D247" s="82"/>
      <c r="E247" s="82"/>
      <c r="F247" s="82"/>
      <c r="H247" s="94"/>
      <c r="I247" s="91"/>
    </row>
    <row r="248" spans="1:9" x14ac:dyDescent="0.3">
      <c r="A248" s="92"/>
      <c r="B248" s="96"/>
      <c r="C248" s="82"/>
      <c r="D248" s="82"/>
      <c r="E248" s="82"/>
      <c r="F248" s="82"/>
      <c r="H248" s="94"/>
      <c r="I248" s="91"/>
    </row>
    <row r="249" spans="1:9" x14ac:dyDescent="0.3">
      <c r="A249" s="92">
        <v>44927</v>
      </c>
      <c r="B249" s="96">
        <v>47.05</v>
      </c>
      <c r="C249" s="82" t="s">
        <v>154</v>
      </c>
      <c r="D249" s="82"/>
      <c r="E249" s="82"/>
      <c r="F249" s="82" t="s">
        <v>156</v>
      </c>
      <c r="G249" s="83" t="s">
        <v>586</v>
      </c>
      <c r="H249" s="82" t="s">
        <v>29</v>
      </c>
      <c r="I249" s="91"/>
    </row>
    <row r="250" spans="1:9" x14ac:dyDescent="0.3">
      <c r="A250" s="92">
        <v>45017</v>
      </c>
      <c r="B250" s="96">
        <v>44.1</v>
      </c>
      <c r="C250" s="82" t="s">
        <v>154</v>
      </c>
      <c r="D250" s="82"/>
      <c r="E250" s="82"/>
      <c r="F250" s="82" t="s">
        <v>156</v>
      </c>
      <c r="G250" s="83" t="s">
        <v>587</v>
      </c>
      <c r="H250" s="82" t="s">
        <v>29</v>
      </c>
      <c r="I250" s="91"/>
    </row>
    <row r="251" spans="1:9" x14ac:dyDescent="0.3">
      <c r="A251" s="92">
        <v>45108</v>
      </c>
      <c r="B251" s="96">
        <v>42.65</v>
      </c>
      <c r="C251" s="82" t="s">
        <v>154</v>
      </c>
      <c r="D251" s="82"/>
      <c r="E251" s="82"/>
      <c r="F251" s="82" t="s">
        <v>156</v>
      </c>
      <c r="G251" s="83" t="s">
        <v>588</v>
      </c>
      <c r="H251" s="82" t="s">
        <v>29</v>
      </c>
      <c r="I251" s="91"/>
    </row>
    <row r="252" spans="1:9" x14ac:dyDescent="0.3">
      <c r="A252" s="92">
        <v>45200</v>
      </c>
      <c r="B252" s="97">
        <v>46.05</v>
      </c>
      <c r="C252" s="82" t="s">
        <v>154</v>
      </c>
      <c r="D252" s="82"/>
      <c r="E252" s="82"/>
      <c r="F252" s="82" t="s">
        <v>156</v>
      </c>
      <c r="G252" s="83" t="s">
        <v>589</v>
      </c>
      <c r="H252" s="82" t="s">
        <v>29</v>
      </c>
      <c r="I252" s="91"/>
    </row>
    <row r="253" spans="1:9" x14ac:dyDescent="0.3">
      <c r="A253" s="92"/>
      <c r="B253" s="95">
        <f>SUM(B249:B252)</f>
        <v>179.85000000000002</v>
      </c>
      <c r="C253" s="82"/>
      <c r="D253" s="82"/>
      <c r="E253" s="82"/>
      <c r="F253" s="82"/>
      <c r="H253" s="82"/>
      <c r="I253" s="91"/>
    </row>
    <row r="254" spans="1:9" x14ac:dyDescent="0.3">
      <c r="A254" s="92"/>
      <c r="B254" s="96"/>
      <c r="C254" s="82"/>
      <c r="D254" s="82"/>
      <c r="E254" s="82"/>
      <c r="F254" s="82"/>
      <c r="H254" s="82"/>
      <c r="I254" s="91"/>
    </row>
    <row r="255" spans="1:9" x14ac:dyDescent="0.3">
      <c r="A255" s="92">
        <v>45028</v>
      </c>
      <c r="B255" s="97">
        <v>10000</v>
      </c>
      <c r="C255" s="82" t="s">
        <v>154</v>
      </c>
      <c r="D255" s="82" t="s">
        <v>590</v>
      </c>
      <c r="E255" s="82" t="s">
        <v>591</v>
      </c>
      <c r="F255" s="82" t="s">
        <v>39</v>
      </c>
      <c r="G255" s="83" t="s">
        <v>592</v>
      </c>
      <c r="H255" s="82" t="s">
        <v>593</v>
      </c>
      <c r="I255" s="91"/>
    </row>
    <row r="256" spans="1:9" x14ac:dyDescent="0.3">
      <c r="A256" s="92"/>
      <c r="B256" s="95">
        <f>SUM(B255)</f>
        <v>10000</v>
      </c>
      <c r="C256" s="82"/>
      <c r="D256" s="82"/>
      <c r="E256" s="82"/>
      <c r="F256" s="82"/>
      <c r="H256" s="82"/>
      <c r="I256" s="91"/>
    </row>
    <row r="257" spans="1:9" x14ac:dyDescent="0.3">
      <c r="A257" s="92"/>
      <c r="B257" s="96"/>
      <c r="C257" s="82"/>
      <c r="D257" s="82"/>
      <c r="E257" s="82"/>
      <c r="F257" s="82"/>
      <c r="H257" s="82"/>
      <c r="I257" s="91"/>
    </row>
    <row r="258" spans="1:9" x14ac:dyDescent="0.3">
      <c r="A258" s="92">
        <v>44953</v>
      </c>
      <c r="B258" s="96">
        <f>250</f>
        <v>250</v>
      </c>
      <c r="C258" s="82" t="s">
        <v>154</v>
      </c>
      <c r="D258" s="82" t="s">
        <v>520</v>
      </c>
      <c r="E258" s="82" t="s">
        <v>521</v>
      </c>
      <c r="F258" s="82" t="s">
        <v>39</v>
      </c>
      <c r="G258" s="83" t="s">
        <v>594</v>
      </c>
      <c r="H258" s="82" t="s">
        <v>595</v>
      </c>
      <c r="I258" s="91"/>
    </row>
    <row r="259" spans="1:9" x14ac:dyDescent="0.3">
      <c r="A259" s="92">
        <v>44979</v>
      </c>
      <c r="B259" s="96">
        <v>100</v>
      </c>
      <c r="C259" s="82" t="s">
        <v>154</v>
      </c>
      <c r="D259" s="82" t="s">
        <v>596</v>
      </c>
      <c r="E259" s="82" t="s">
        <v>460</v>
      </c>
      <c r="F259" s="82" t="s">
        <v>39</v>
      </c>
      <c r="G259" s="83" t="s">
        <v>597</v>
      </c>
      <c r="H259" s="82" t="s">
        <v>595</v>
      </c>
      <c r="I259" s="91"/>
    </row>
    <row r="260" spans="1:9" x14ac:dyDescent="0.3">
      <c r="A260" s="92">
        <v>44992</v>
      </c>
      <c r="B260" s="97">
        <v>220</v>
      </c>
      <c r="C260" s="82" t="s">
        <v>154</v>
      </c>
      <c r="D260" s="82" t="s">
        <v>155</v>
      </c>
      <c r="E260" s="82" t="s">
        <v>58</v>
      </c>
      <c r="F260" s="82" t="s">
        <v>39</v>
      </c>
      <c r="G260" s="83" t="s">
        <v>598</v>
      </c>
      <c r="H260" s="82" t="s">
        <v>595</v>
      </c>
      <c r="I260" s="91"/>
    </row>
    <row r="261" spans="1:9" x14ac:dyDescent="0.3">
      <c r="A261" s="92"/>
      <c r="B261" s="95">
        <f>SUM(B258:B260)</f>
        <v>570</v>
      </c>
      <c r="C261" s="82"/>
      <c r="D261" s="82"/>
      <c r="E261" s="82"/>
      <c r="F261" s="82"/>
      <c r="H261" s="82"/>
      <c r="I261" s="91"/>
    </row>
    <row r="262" spans="1:9" x14ac:dyDescent="0.3">
      <c r="A262" s="92"/>
      <c r="B262" s="96"/>
      <c r="C262" s="82"/>
      <c r="D262" s="82"/>
      <c r="E262" s="82"/>
      <c r="F262" s="82"/>
      <c r="H262" s="82"/>
      <c r="I262" s="91"/>
    </row>
    <row r="263" spans="1:9" x14ac:dyDescent="0.3">
      <c r="A263" s="92">
        <v>45183</v>
      </c>
      <c r="B263" s="97">
        <v>32.57</v>
      </c>
      <c r="C263" s="82" t="s">
        <v>154</v>
      </c>
      <c r="D263" s="82" t="s">
        <v>155</v>
      </c>
      <c r="E263" s="82" t="s">
        <v>58</v>
      </c>
      <c r="F263" s="82" t="s">
        <v>39</v>
      </c>
      <c r="G263" s="83" t="s">
        <v>599</v>
      </c>
      <c r="H263" s="82" t="s">
        <v>600</v>
      </c>
      <c r="I263" s="91"/>
    </row>
    <row r="264" spans="1:9" x14ac:dyDescent="0.3">
      <c r="A264" s="92"/>
      <c r="B264" s="95">
        <f>SUM(B263)</f>
        <v>32.57</v>
      </c>
      <c r="C264" s="82"/>
      <c r="D264" s="82"/>
      <c r="E264" s="82"/>
      <c r="F264" s="82"/>
      <c r="H264" s="82"/>
      <c r="I264" s="91"/>
    </row>
    <row r="265" spans="1:9" x14ac:dyDescent="0.3">
      <c r="A265" s="92"/>
      <c r="B265" s="96"/>
      <c r="C265" s="82"/>
      <c r="D265" s="82"/>
      <c r="E265" s="82"/>
      <c r="F265" s="82"/>
      <c r="H265" s="82"/>
      <c r="I265" s="91"/>
    </row>
    <row r="266" spans="1:9" x14ac:dyDescent="0.3">
      <c r="A266" s="92">
        <v>45131</v>
      </c>
      <c r="B266" s="97">
        <v>100</v>
      </c>
      <c r="C266" s="82" t="s">
        <v>154</v>
      </c>
      <c r="D266" s="82" t="s">
        <v>155</v>
      </c>
      <c r="E266" s="82" t="s">
        <v>58</v>
      </c>
      <c r="F266" s="82" t="s">
        <v>39</v>
      </c>
      <c r="G266" s="83" t="s">
        <v>601</v>
      </c>
      <c r="H266" s="94" t="s">
        <v>602</v>
      </c>
      <c r="I266" s="91"/>
    </row>
    <row r="267" spans="1:9" x14ac:dyDescent="0.3">
      <c r="A267" s="92"/>
      <c r="B267" s="95">
        <f>SUM(B266)</f>
        <v>100</v>
      </c>
      <c r="C267" s="82"/>
      <c r="D267" s="82"/>
      <c r="E267" s="82"/>
      <c r="F267" s="82"/>
      <c r="H267" s="94"/>
      <c r="I267" s="91"/>
    </row>
    <row r="268" spans="1:9" x14ac:dyDescent="0.3">
      <c r="A268" s="92"/>
      <c r="B268" s="96"/>
      <c r="C268" s="82"/>
      <c r="D268" s="82"/>
      <c r="E268" s="82"/>
      <c r="F268" s="82"/>
      <c r="H268" s="94"/>
      <c r="I268" s="91"/>
    </row>
    <row r="269" spans="1:9" x14ac:dyDescent="0.3">
      <c r="A269" s="92">
        <v>44931</v>
      </c>
      <c r="B269" s="96">
        <f>3500</f>
        <v>3500</v>
      </c>
      <c r="C269" s="82" t="s">
        <v>154</v>
      </c>
      <c r="D269" s="82" t="s">
        <v>329</v>
      </c>
      <c r="E269" s="82"/>
      <c r="F269" s="82"/>
      <c r="G269" s="83" t="s">
        <v>603</v>
      </c>
      <c r="H269" s="82" t="s">
        <v>604</v>
      </c>
      <c r="I269" s="91"/>
    </row>
    <row r="270" spans="1:9" x14ac:dyDescent="0.3">
      <c r="A270" s="92">
        <v>44965</v>
      </c>
      <c r="B270" s="96">
        <v>3000</v>
      </c>
      <c r="C270" s="82" t="s">
        <v>154</v>
      </c>
      <c r="D270" s="82" t="s">
        <v>605</v>
      </c>
      <c r="E270" s="82" t="s">
        <v>323</v>
      </c>
      <c r="F270" s="82" t="s">
        <v>39</v>
      </c>
      <c r="G270" s="83" t="s">
        <v>606</v>
      </c>
      <c r="H270" s="82" t="s">
        <v>604</v>
      </c>
      <c r="I270" s="91"/>
    </row>
    <row r="271" spans="1:9" x14ac:dyDescent="0.3">
      <c r="A271" s="92">
        <v>45139</v>
      </c>
      <c r="B271" s="96">
        <v>400</v>
      </c>
      <c r="C271" s="82" t="s">
        <v>154</v>
      </c>
      <c r="D271" s="82" t="s">
        <v>590</v>
      </c>
      <c r="E271" s="82" t="s">
        <v>591</v>
      </c>
      <c r="F271" s="82" t="s">
        <v>39</v>
      </c>
      <c r="G271" s="83" t="s">
        <v>607</v>
      </c>
      <c r="H271" s="82" t="s">
        <v>604</v>
      </c>
      <c r="I271" s="91"/>
    </row>
    <row r="272" spans="1:9" x14ac:dyDescent="0.3">
      <c r="A272" s="92">
        <v>45259</v>
      </c>
      <c r="B272" s="96">
        <v>2000</v>
      </c>
      <c r="C272" s="82" t="s">
        <v>154</v>
      </c>
      <c r="D272" s="82" t="s">
        <v>329</v>
      </c>
      <c r="E272" s="82" t="s">
        <v>330</v>
      </c>
      <c r="F272" s="82" t="s">
        <v>39</v>
      </c>
      <c r="G272" s="83" t="s">
        <v>608</v>
      </c>
      <c r="H272" s="82" t="s">
        <v>604</v>
      </c>
      <c r="I272" s="91"/>
    </row>
    <row r="273" spans="1:9" x14ac:dyDescent="0.3">
      <c r="A273" s="92">
        <v>44953</v>
      </c>
      <c r="B273" s="97">
        <f>100</f>
        <v>100</v>
      </c>
      <c r="C273" s="82" t="s">
        <v>154</v>
      </c>
      <c r="D273" s="82" t="s">
        <v>520</v>
      </c>
      <c r="E273" s="82" t="s">
        <v>521</v>
      </c>
      <c r="F273" s="82" t="s">
        <v>39</v>
      </c>
      <c r="G273" s="83" t="s">
        <v>594</v>
      </c>
      <c r="H273" s="94" t="s">
        <v>604</v>
      </c>
      <c r="I273" s="91"/>
    </row>
    <row r="274" spans="1:9" x14ac:dyDescent="0.3">
      <c r="A274" s="92"/>
      <c r="B274" s="95">
        <f>SUM(B269:B273)</f>
        <v>9000</v>
      </c>
      <c r="C274" s="82"/>
      <c r="D274" s="82"/>
      <c r="E274" s="82"/>
      <c r="F274" s="82"/>
      <c r="H274" s="94"/>
      <c r="I274" s="91"/>
    </row>
    <row r="275" spans="1:9" x14ac:dyDescent="0.3">
      <c r="A275" s="92"/>
      <c r="B275" s="96"/>
      <c r="C275" s="82"/>
      <c r="D275" s="82"/>
      <c r="E275" s="82"/>
      <c r="F275" s="82"/>
      <c r="H275" s="94"/>
      <c r="I275" s="91"/>
    </row>
    <row r="276" spans="1:9" x14ac:dyDescent="0.3">
      <c r="A276" s="92">
        <v>45273</v>
      </c>
      <c r="B276" s="97">
        <v>1000</v>
      </c>
      <c r="C276" s="82" t="s">
        <v>154</v>
      </c>
      <c r="D276" s="82" t="s">
        <v>134</v>
      </c>
      <c r="E276" s="82" t="s">
        <v>135</v>
      </c>
      <c r="F276" s="82" t="s">
        <v>39</v>
      </c>
      <c r="G276" s="83" t="s">
        <v>609</v>
      </c>
      <c r="H276" s="82" t="s">
        <v>610</v>
      </c>
      <c r="I276" s="91"/>
    </row>
    <row r="277" spans="1:9" x14ac:dyDescent="0.3">
      <c r="A277" s="92"/>
      <c r="B277" s="95">
        <f>SUM(B276)</f>
        <v>1000</v>
      </c>
      <c r="C277" s="82"/>
      <c r="D277" s="82"/>
      <c r="E277" s="82"/>
      <c r="F277" s="82"/>
      <c r="H277" s="82"/>
      <c r="I277" s="91"/>
    </row>
    <row r="278" spans="1:9" x14ac:dyDescent="0.3">
      <c r="A278" s="92"/>
      <c r="B278" s="96"/>
      <c r="C278" s="82"/>
      <c r="D278" s="82"/>
      <c r="E278" s="82"/>
      <c r="F278" s="82"/>
      <c r="H278" s="82"/>
      <c r="I278" s="91"/>
    </row>
    <row r="279" spans="1:9" x14ac:dyDescent="0.3">
      <c r="A279" s="92">
        <v>44931</v>
      </c>
      <c r="B279" s="97">
        <v>300</v>
      </c>
      <c r="C279" s="82" t="s">
        <v>154</v>
      </c>
      <c r="D279" s="82" t="s">
        <v>155</v>
      </c>
      <c r="E279" s="82" t="s">
        <v>58</v>
      </c>
      <c r="F279" s="82" t="s">
        <v>39</v>
      </c>
      <c r="G279" s="83" t="s">
        <v>611</v>
      </c>
      <c r="H279" s="94" t="s">
        <v>612</v>
      </c>
      <c r="I279" s="91"/>
    </row>
    <row r="280" spans="1:9" x14ac:dyDescent="0.3">
      <c r="A280" s="92"/>
      <c r="B280" s="95">
        <f>SUM(B279)</f>
        <v>300</v>
      </c>
      <c r="C280" s="82"/>
      <c r="D280" s="82"/>
      <c r="E280" s="82"/>
      <c r="F280" s="82"/>
      <c r="H280" s="94"/>
      <c r="I280" s="91"/>
    </row>
    <row r="281" spans="1:9" x14ac:dyDescent="0.3">
      <c r="A281" s="92"/>
      <c r="B281" s="96"/>
      <c r="C281" s="82"/>
      <c r="D281" s="82"/>
      <c r="E281" s="82"/>
      <c r="F281" s="82"/>
      <c r="H281" s="94"/>
      <c r="I281" s="91"/>
    </row>
    <row r="282" spans="1:9" x14ac:dyDescent="0.3">
      <c r="A282" s="92">
        <v>45177</v>
      </c>
      <c r="B282" s="97">
        <v>5000</v>
      </c>
      <c r="C282" s="82" t="s">
        <v>154</v>
      </c>
      <c r="D282" s="82" t="s">
        <v>613</v>
      </c>
      <c r="E282" s="82" t="s">
        <v>614</v>
      </c>
      <c r="F282" s="82" t="s">
        <v>39</v>
      </c>
      <c r="G282" s="83" t="s">
        <v>615</v>
      </c>
      <c r="H282" s="82" t="s">
        <v>331</v>
      </c>
      <c r="I282" s="91"/>
    </row>
    <row r="283" spans="1:9" x14ac:dyDescent="0.3">
      <c r="A283" s="92"/>
      <c r="B283" s="95">
        <f>SUM(B282)</f>
        <v>5000</v>
      </c>
      <c r="C283" s="82"/>
      <c r="D283" s="82"/>
      <c r="E283" s="82"/>
      <c r="F283" s="82"/>
      <c r="H283" s="82"/>
      <c r="I283" s="91"/>
    </row>
    <row r="284" spans="1:9" x14ac:dyDescent="0.3">
      <c r="A284" s="92"/>
      <c r="B284" s="96"/>
      <c r="C284" s="82"/>
      <c r="D284" s="82"/>
      <c r="E284" s="82"/>
      <c r="F284" s="82"/>
      <c r="H284" s="82"/>
      <c r="I284" s="91"/>
    </row>
    <row r="285" spans="1:9" x14ac:dyDescent="0.3">
      <c r="A285" s="92">
        <v>44931</v>
      </c>
      <c r="B285" s="96">
        <v>2000</v>
      </c>
      <c r="C285" s="82" t="s">
        <v>154</v>
      </c>
      <c r="D285" s="82" t="s">
        <v>155</v>
      </c>
      <c r="E285" s="82" t="s">
        <v>58</v>
      </c>
      <c r="F285" s="82" t="s">
        <v>39</v>
      </c>
      <c r="G285" s="83" t="s">
        <v>616</v>
      </c>
      <c r="H285" s="82" t="s">
        <v>617</v>
      </c>
      <c r="I285" s="91"/>
    </row>
    <row r="286" spans="1:9" x14ac:dyDescent="0.3">
      <c r="A286" s="92">
        <v>45250</v>
      </c>
      <c r="B286" s="96">
        <v>3000</v>
      </c>
      <c r="C286" s="82" t="s">
        <v>154</v>
      </c>
      <c r="D286" s="82" t="s">
        <v>155</v>
      </c>
      <c r="E286" s="82" t="s">
        <v>58</v>
      </c>
      <c r="F286" s="82" t="s">
        <v>39</v>
      </c>
      <c r="G286" s="83" t="s">
        <v>618</v>
      </c>
      <c r="H286" s="82" t="s">
        <v>617</v>
      </c>
      <c r="I286" s="91"/>
    </row>
    <row r="287" spans="1:9" x14ac:dyDescent="0.3">
      <c r="A287" s="92">
        <v>45139</v>
      </c>
      <c r="B287" s="96">
        <f>3000</f>
        <v>3000</v>
      </c>
      <c r="C287" s="82" t="s">
        <v>154</v>
      </c>
      <c r="D287" s="82" t="s">
        <v>590</v>
      </c>
      <c r="E287" s="82"/>
      <c r="F287" s="82"/>
      <c r="G287" s="83" t="s">
        <v>607</v>
      </c>
      <c r="H287" s="82" t="s">
        <v>617</v>
      </c>
      <c r="I287" s="91"/>
    </row>
    <row r="288" spans="1:9" x14ac:dyDescent="0.3">
      <c r="A288" s="92">
        <v>44953</v>
      </c>
      <c r="B288" s="96">
        <f>400</f>
        <v>400</v>
      </c>
      <c r="C288" s="82" t="s">
        <v>154</v>
      </c>
      <c r="D288" s="82" t="s">
        <v>520</v>
      </c>
      <c r="E288" s="82" t="s">
        <v>521</v>
      </c>
      <c r="F288" s="82" t="s">
        <v>39</v>
      </c>
      <c r="G288" s="83" t="s">
        <v>594</v>
      </c>
      <c r="H288" s="82" t="s">
        <v>619</v>
      </c>
      <c r="I288" s="91"/>
    </row>
    <row r="289" spans="1:9" x14ac:dyDescent="0.3">
      <c r="A289" s="92">
        <v>45139</v>
      </c>
      <c r="B289" s="96">
        <f>400</f>
        <v>400</v>
      </c>
      <c r="C289" s="82" t="s">
        <v>154</v>
      </c>
      <c r="D289" s="82" t="s">
        <v>590</v>
      </c>
      <c r="E289" s="82"/>
      <c r="F289" s="82"/>
      <c r="G289" s="83" t="s">
        <v>607</v>
      </c>
      <c r="H289" s="82" t="s">
        <v>619</v>
      </c>
      <c r="I289" s="91"/>
    </row>
    <row r="290" spans="1:9" x14ac:dyDescent="0.3">
      <c r="A290" s="92">
        <v>45235</v>
      </c>
      <c r="B290" s="97">
        <v>15000</v>
      </c>
      <c r="C290" s="82" t="s">
        <v>154</v>
      </c>
      <c r="D290" s="82" t="s">
        <v>613</v>
      </c>
      <c r="E290" s="82" t="s">
        <v>614</v>
      </c>
      <c r="F290" s="82" t="s">
        <v>39</v>
      </c>
      <c r="G290" s="83" t="s">
        <v>620</v>
      </c>
      <c r="H290" s="82" t="s">
        <v>619</v>
      </c>
      <c r="I290" s="91"/>
    </row>
    <row r="291" spans="1:9" x14ac:dyDescent="0.3">
      <c r="A291" s="92"/>
      <c r="B291" s="95">
        <f>SUM(B285:B290)</f>
        <v>23800</v>
      </c>
      <c r="C291" s="82"/>
      <c r="D291" s="82"/>
      <c r="E291" s="82"/>
      <c r="F291" s="82"/>
      <c r="H291" s="82"/>
      <c r="I291" s="91"/>
    </row>
    <row r="292" spans="1:9" x14ac:dyDescent="0.3">
      <c r="A292" s="92"/>
      <c r="B292" s="96"/>
      <c r="C292" s="82"/>
      <c r="D292" s="82"/>
      <c r="E292" s="82"/>
      <c r="F292" s="82"/>
      <c r="H292" s="82"/>
      <c r="I292" s="91"/>
    </row>
    <row r="293" spans="1:9" x14ac:dyDescent="0.3">
      <c r="A293" s="92">
        <v>45088</v>
      </c>
      <c r="B293" s="97">
        <v>6000</v>
      </c>
      <c r="C293" s="82" t="s">
        <v>154</v>
      </c>
      <c r="D293" s="82" t="s">
        <v>63</v>
      </c>
      <c r="E293" s="82" t="s">
        <v>64</v>
      </c>
      <c r="F293" s="82" t="s">
        <v>39</v>
      </c>
      <c r="H293" s="82" t="s">
        <v>621</v>
      </c>
      <c r="I293" s="91"/>
    </row>
    <row r="294" spans="1:9" x14ac:dyDescent="0.3">
      <c r="A294" s="92"/>
      <c r="B294" s="95">
        <f>SUM(B293)</f>
        <v>6000</v>
      </c>
      <c r="C294" s="82"/>
      <c r="D294" s="82"/>
      <c r="E294" s="82"/>
      <c r="F294" s="82"/>
      <c r="H294" s="82"/>
      <c r="I294" s="91"/>
    </row>
    <row r="295" spans="1:9" x14ac:dyDescent="0.3">
      <c r="A295" s="92"/>
      <c r="B295" s="96"/>
      <c r="C295" s="82"/>
      <c r="D295" s="82"/>
      <c r="E295" s="82"/>
      <c r="F295" s="82"/>
      <c r="H295" s="82"/>
      <c r="I295" s="91"/>
    </row>
    <row r="296" spans="1:9" x14ac:dyDescent="0.3">
      <c r="A296" s="92">
        <v>44976</v>
      </c>
      <c r="B296" s="96">
        <v>2250</v>
      </c>
      <c r="C296" s="82" t="s">
        <v>154</v>
      </c>
      <c r="D296" s="82" t="s">
        <v>155</v>
      </c>
      <c r="E296" s="82" t="s">
        <v>58</v>
      </c>
      <c r="F296" s="82" t="s">
        <v>39</v>
      </c>
      <c r="G296" s="83" t="s">
        <v>622</v>
      </c>
      <c r="H296" s="82" t="s">
        <v>623</v>
      </c>
      <c r="I296" s="91" t="s">
        <v>624</v>
      </c>
    </row>
    <row r="297" spans="1:9" x14ac:dyDescent="0.3">
      <c r="A297" s="92">
        <v>45102</v>
      </c>
      <c r="B297" s="96">
        <v>50000</v>
      </c>
      <c r="C297" s="82" t="s">
        <v>154</v>
      </c>
      <c r="D297" s="82" t="s">
        <v>613</v>
      </c>
      <c r="E297" s="82" t="s">
        <v>614</v>
      </c>
      <c r="F297" s="82" t="s">
        <v>39</v>
      </c>
      <c r="G297" s="83" t="s">
        <v>625</v>
      </c>
      <c r="H297" s="82" t="s">
        <v>623</v>
      </c>
      <c r="I297" s="91" t="s">
        <v>409</v>
      </c>
    </row>
    <row r="298" spans="1:9" x14ac:dyDescent="0.3">
      <c r="A298" s="92">
        <v>45133</v>
      </c>
      <c r="B298" s="97">
        <v>2000</v>
      </c>
      <c r="C298" s="82" t="s">
        <v>154</v>
      </c>
      <c r="D298" s="82" t="s">
        <v>70</v>
      </c>
      <c r="E298" s="82" t="s">
        <v>241</v>
      </c>
      <c r="F298" s="82" t="s">
        <v>39</v>
      </c>
      <c r="G298" s="83" t="s">
        <v>626</v>
      </c>
      <c r="H298" s="82" t="s">
        <v>623</v>
      </c>
      <c r="I298" s="91" t="s">
        <v>409</v>
      </c>
    </row>
    <row r="299" spans="1:9" x14ac:dyDescent="0.3">
      <c r="A299" s="92"/>
      <c r="B299" s="95">
        <f>SUM(B296:B298)</f>
        <v>54250</v>
      </c>
      <c r="C299" s="82"/>
      <c r="D299" s="82"/>
      <c r="E299" s="82"/>
      <c r="F299" s="82"/>
      <c r="H299" s="82"/>
      <c r="I299" s="91"/>
    </row>
    <row r="300" spans="1:9" x14ac:dyDescent="0.3">
      <c r="A300" s="92"/>
      <c r="B300" s="96"/>
      <c r="C300" s="82"/>
      <c r="D300" s="82"/>
      <c r="E300" s="82"/>
      <c r="F300" s="82"/>
      <c r="H300" s="82"/>
      <c r="I300" s="91"/>
    </row>
    <row r="301" spans="1:9" x14ac:dyDescent="0.3">
      <c r="A301" s="92">
        <v>44970</v>
      </c>
      <c r="B301" s="96">
        <v>145</v>
      </c>
      <c r="C301" s="82" t="s">
        <v>154</v>
      </c>
      <c r="D301" s="82" t="s">
        <v>157</v>
      </c>
      <c r="E301" s="82" t="s">
        <v>158</v>
      </c>
      <c r="F301" s="82" t="s">
        <v>39</v>
      </c>
      <c r="G301" s="83" t="s">
        <v>627</v>
      </c>
      <c r="H301" s="106" t="s">
        <v>28</v>
      </c>
      <c r="I301" s="91"/>
    </row>
    <row r="302" spans="1:9" x14ac:dyDescent="0.3">
      <c r="A302" s="92">
        <v>45076</v>
      </c>
      <c r="B302" s="96">
        <v>19.36</v>
      </c>
      <c r="C302" s="82" t="s">
        <v>154</v>
      </c>
      <c r="D302" s="82" t="s">
        <v>159</v>
      </c>
      <c r="E302" s="82" t="s">
        <v>160</v>
      </c>
      <c r="F302" s="82" t="s">
        <v>39</v>
      </c>
      <c r="G302" s="83" t="s">
        <v>628</v>
      </c>
      <c r="H302" s="82" t="s">
        <v>28</v>
      </c>
      <c r="I302" s="91"/>
    </row>
    <row r="303" spans="1:9" x14ac:dyDescent="0.3">
      <c r="A303" s="92">
        <v>45154</v>
      </c>
      <c r="B303" s="97">
        <v>139.19999999999999</v>
      </c>
      <c r="C303" s="82" t="s">
        <v>154</v>
      </c>
      <c r="D303" s="82" t="s">
        <v>159</v>
      </c>
      <c r="E303" s="82" t="s">
        <v>160</v>
      </c>
      <c r="F303" s="82" t="s">
        <v>39</v>
      </c>
      <c r="G303" s="83" t="s">
        <v>629</v>
      </c>
      <c r="H303" s="82" t="s">
        <v>28</v>
      </c>
      <c r="I303" s="91"/>
    </row>
    <row r="304" spans="1:9" x14ac:dyDescent="0.3">
      <c r="A304" s="92"/>
      <c r="B304" s="95">
        <f>SUM(B301:B303)</f>
        <v>303.56</v>
      </c>
      <c r="C304" s="82"/>
      <c r="D304" s="82"/>
      <c r="E304" s="82"/>
      <c r="F304" s="82"/>
      <c r="H304" s="82"/>
      <c r="I304" s="91"/>
    </row>
    <row r="305" spans="1:9" x14ac:dyDescent="0.3">
      <c r="A305" s="92"/>
      <c r="B305" s="96"/>
      <c r="C305" s="82"/>
      <c r="D305" s="82"/>
      <c r="E305" s="82"/>
      <c r="F305" s="82"/>
      <c r="H305" s="82"/>
      <c r="I305" s="91"/>
    </row>
    <row r="306" spans="1:9" x14ac:dyDescent="0.3">
      <c r="A306" s="92">
        <v>45259</v>
      </c>
      <c r="B306" s="97">
        <v>3000</v>
      </c>
      <c r="C306" s="82" t="s">
        <v>154</v>
      </c>
      <c r="D306" s="82" t="s">
        <v>329</v>
      </c>
      <c r="E306" s="82"/>
      <c r="F306" s="82"/>
      <c r="G306" s="83" t="s">
        <v>608</v>
      </c>
      <c r="H306" s="82" t="s">
        <v>630</v>
      </c>
      <c r="I306" s="91"/>
    </row>
    <row r="307" spans="1:9" x14ac:dyDescent="0.3">
      <c r="A307" s="92"/>
      <c r="B307" s="95">
        <f>SUM(B306)</f>
        <v>3000</v>
      </c>
      <c r="C307" s="82"/>
      <c r="D307" s="82"/>
      <c r="E307" s="82"/>
      <c r="F307" s="82"/>
      <c r="H307" s="82"/>
      <c r="I307" s="91"/>
    </row>
    <row r="308" spans="1:9" x14ac:dyDescent="0.3">
      <c r="A308" s="92"/>
      <c r="B308" s="96"/>
      <c r="C308" s="82"/>
      <c r="D308" s="82"/>
      <c r="E308" s="82"/>
      <c r="F308" s="82"/>
      <c r="H308" s="82"/>
      <c r="I308" s="91"/>
    </row>
    <row r="309" spans="1:9" x14ac:dyDescent="0.3">
      <c r="A309" s="92">
        <v>44931</v>
      </c>
      <c r="B309" s="96">
        <f>500</f>
        <v>500</v>
      </c>
      <c r="C309" s="82" t="s">
        <v>154</v>
      </c>
      <c r="D309" s="82" t="s">
        <v>329</v>
      </c>
      <c r="E309" s="82" t="s">
        <v>330</v>
      </c>
      <c r="F309" s="82" t="s">
        <v>39</v>
      </c>
      <c r="G309" s="83" t="s">
        <v>603</v>
      </c>
      <c r="H309" s="94" t="s">
        <v>631</v>
      </c>
      <c r="I309" s="91"/>
    </row>
    <row r="310" spans="1:9" x14ac:dyDescent="0.3">
      <c r="A310" s="92">
        <v>44951</v>
      </c>
      <c r="B310" s="96">
        <v>750</v>
      </c>
      <c r="C310" s="82" t="s">
        <v>154</v>
      </c>
      <c r="D310" s="82" t="s">
        <v>520</v>
      </c>
      <c r="E310" s="82" t="s">
        <v>521</v>
      </c>
      <c r="F310" s="82" t="s">
        <v>39</v>
      </c>
      <c r="G310" s="83" t="s">
        <v>632</v>
      </c>
      <c r="H310" s="94" t="s">
        <v>631</v>
      </c>
      <c r="I310" s="91"/>
    </row>
    <row r="311" spans="1:9" x14ac:dyDescent="0.3">
      <c r="A311" s="92">
        <v>44964</v>
      </c>
      <c r="B311" s="97">
        <v>1000</v>
      </c>
      <c r="C311" s="82" t="s">
        <v>154</v>
      </c>
      <c r="D311" s="82" t="s">
        <v>633</v>
      </c>
      <c r="E311" s="82" t="s">
        <v>259</v>
      </c>
      <c r="F311" s="82" t="s">
        <v>39</v>
      </c>
      <c r="G311" s="83" t="s">
        <v>634</v>
      </c>
      <c r="H311" s="94" t="s">
        <v>631</v>
      </c>
      <c r="I311" s="91"/>
    </row>
    <row r="312" spans="1:9" x14ac:dyDescent="0.3">
      <c r="A312" s="92"/>
      <c r="B312" s="95">
        <f>SUM(B309:B311)</f>
        <v>2250</v>
      </c>
      <c r="C312" s="82"/>
      <c r="D312" s="82"/>
      <c r="E312" s="82"/>
      <c r="F312" s="82"/>
      <c r="H312" s="94"/>
      <c r="I312" s="91"/>
    </row>
    <row r="313" spans="1:9" x14ac:dyDescent="0.3">
      <c r="A313" s="92"/>
      <c r="B313" s="96"/>
      <c r="C313" s="82"/>
      <c r="D313" s="82"/>
      <c r="E313" s="82"/>
      <c r="F313" s="82"/>
      <c r="H313" s="94"/>
      <c r="I313" s="91"/>
    </row>
    <row r="314" spans="1:9" x14ac:dyDescent="0.3">
      <c r="A314" s="92">
        <v>44978</v>
      </c>
      <c r="B314" s="96">
        <v>154</v>
      </c>
      <c r="C314" s="82" t="s">
        <v>154</v>
      </c>
      <c r="D314" s="82" t="s">
        <v>155</v>
      </c>
      <c r="E314" s="82" t="s">
        <v>58</v>
      </c>
      <c r="F314" s="82" t="s">
        <v>39</v>
      </c>
      <c r="G314" s="83" t="s">
        <v>635</v>
      </c>
      <c r="H314" s="82" t="s">
        <v>162</v>
      </c>
      <c r="I314" s="91"/>
    </row>
    <row r="315" spans="1:9" x14ac:dyDescent="0.3">
      <c r="A315" s="92">
        <v>44992</v>
      </c>
      <c r="B315" s="96">
        <v>154</v>
      </c>
      <c r="C315" s="82" t="s">
        <v>154</v>
      </c>
      <c r="D315" s="82" t="s">
        <v>155</v>
      </c>
      <c r="E315" s="82" t="s">
        <v>58</v>
      </c>
      <c r="F315" s="82" t="s">
        <v>39</v>
      </c>
      <c r="G315" s="83" t="s">
        <v>636</v>
      </c>
      <c r="H315" s="82" t="s">
        <v>162</v>
      </c>
      <c r="I315" s="91"/>
    </row>
    <row r="316" spans="1:9" x14ac:dyDescent="0.3">
      <c r="A316" s="92">
        <v>44993</v>
      </c>
      <c r="B316" s="96">
        <v>700</v>
      </c>
      <c r="C316" s="82" t="s">
        <v>154</v>
      </c>
      <c r="D316" s="82" t="s">
        <v>155</v>
      </c>
      <c r="E316" s="82" t="s">
        <v>58</v>
      </c>
      <c r="F316" s="82" t="s">
        <v>39</v>
      </c>
      <c r="G316" s="83" t="s">
        <v>637</v>
      </c>
      <c r="H316" s="82" t="s">
        <v>162</v>
      </c>
      <c r="I316" s="91"/>
    </row>
    <row r="317" spans="1:9" x14ac:dyDescent="0.3">
      <c r="A317" s="92">
        <v>45017</v>
      </c>
      <c r="B317" s="96">
        <v>443.95</v>
      </c>
      <c r="C317" s="82" t="s">
        <v>154</v>
      </c>
      <c r="D317" s="82" t="s">
        <v>155</v>
      </c>
      <c r="E317" s="82" t="s">
        <v>58</v>
      </c>
      <c r="F317" s="82" t="s">
        <v>39</v>
      </c>
      <c r="G317" s="83" t="s">
        <v>638</v>
      </c>
      <c r="H317" s="94" t="s">
        <v>162</v>
      </c>
      <c r="I317" s="91"/>
    </row>
    <row r="318" spans="1:9" x14ac:dyDescent="0.3">
      <c r="A318" s="92">
        <v>45017</v>
      </c>
      <c r="B318" s="96">
        <v>932.8</v>
      </c>
      <c r="C318" s="82" t="s">
        <v>154</v>
      </c>
      <c r="D318" s="82" t="s">
        <v>155</v>
      </c>
      <c r="E318" s="82" t="s">
        <v>58</v>
      </c>
      <c r="F318" s="82" t="s">
        <v>39</v>
      </c>
      <c r="G318" s="83" t="s">
        <v>639</v>
      </c>
      <c r="H318" s="94" t="s">
        <v>162</v>
      </c>
      <c r="I318" s="91"/>
    </row>
    <row r="319" spans="1:9" x14ac:dyDescent="0.3">
      <c r="A319" s="92">
        <v>45096</v>
      </c>
      <c r="B319" s="96">
        <v>396.45</v>
      </c>
      <c r="C319" s="82" t="s">
        <v>154</v>
      </c>
      <c r="D319" s="82" t="s">
        <v>640</v>
      </c>
      <c r="E319" s="82" t="s">
        <v>67</v>
      </c>
      <c r="F319" s="82" t="s">
        <v>39</v>
      </c>
      <c r="G319" s="83" t="s">
        <v>641</v>
      </c>
      <c r="H319" s="82" t="s">
        <v>162</v>
      </c>
      <c r="I319" s="91"/>
    </row>
    <row r="320" spans="1:9" x14ac:dyDescent="0.3">
      <c r="A320" s="92">
        <v>45185</v>
      </c>
      <c r="B320" s="97">
        <v>567.5</v>
      </c>
      <c r="C320" s="82" t="s">
        <v>154</v>
      </c>
      <c r="D320" s="82" t="s">
        <v>332</v>
      </c>
      <c r="E320" s="82" t="s">
        <v>161</v>
      </c>
      <c r="F320" s="82" t="s">
        <v>39</v>
      </c>
      <c r="G320" s="83" t="s">
        <v>642</v>
      </c>
      <c r="H320" s="82" t="s">
        <v>162</v>
      </c>
      <c r="I320" s="91"/>
    </row>
    <row r="321" spans="1:9" x14ac:dyDescent="0.3">
      <c r="A321" s="92"/>
      <c r="B321" s="95">
        <f>SUM(B314:B320)</f>
        <v>3348.7</v>
      </c>
      <c r="C321" s="82"/>
      <c r="D321" s="82"/>
      <c r="E321" s="82"/>
      <c r="F321" s="82"/>
      <c r="H321" s="82"/>
      <c r="I321" s="91"/>
    </row>
    <row r="322" spans="1:9" x14ac:dyDescent="0.3">
      <c r="A322" s="92"/>
      <c r="B322" s="96"/>
      <c r="C322" s="82"/>
      <c r="D322" s="82"/>
      <c r="E322" s="82"/>
      <c r="F322" s="82"/>
      <c r="H322" s="82"/>
      <c r="I322" s="91"/>
    </row>
    <row r="323" spans="1:9" x14ac:dyDescent="0.3">
      <c r="A323" s="92">
        <v>45129</v>
      </c>
      <c r="B323" s="96">
        <v>1520</v>
      </c>
      <c r="C323" s="82" t="s">
        <v>154</v>
      </c>
      <c r="D323" s="82" t="s">
        <v>155</v>
      </c>
      <c r="E323" s="82" t="s">
        <v>58</v>
      </c>
      <c r="F323" s="82" t="s">
        <v>39</v>
      </c>
      <c r="G323" s="83" t="s">
        <v>643</v>
      </c>
      <c r="H323" s="94" t="s">
        <v>324</v>
      </c>
      <c r="I323" s="91"/>
    </row>
    <row r="324" spans="1:9" x14ac:dyDescent="0.3">
      <c r="A324" s="92">
        <v>45188</v>
      </c>
      <c r="B324" s="97">
        <v>380</v>
      </c>
      <c r="C324" s="82" t="s">
        <v>154</v>
      </c>
      <c r="D324" s="82" t="s">
        <v>155</v>
      </c>
      <c r="E324" s="82" t="s">
        <v>58</v>
      </c>
      <c r="F324" s="82" t="s">
        <v>39</v>
      </c>
      <c r="G324" s="83" t="s">
        <v>644</v>
      </c>
      <c r="H324" s="94" t="s">
        <v>324</v>
      </c>
      <c r="I324" s="91"/>
    </row>
    <row r="325" spans="1:9" x14ac:dyDescent="0.3">
      <c r="A325" s="92"/>
      <c r="B325" s="95">
        <f>SUM(B323:B324)</f>
        <v>1900</v>
      </c>
      <c r="C325" s="82"/>
      <c r="D325" s="82"/>
      <c r="E325" s="82"/>
      <c r="F325" s="82"/>
      <c r="H325" s="94"/>
      <c r="I325" s="91"/>
    </row>
    <row r="326" spans="1:9" x14ac:dyDescent="0.3">
      <c r="A326" s="92"/>
      <c r="B326" s="96"/>
      <c r="C326" s="82"/>
      <c r="D326" s="82"/>
      <c r="E326" s="82"/>
      <c r="F326" s="82"/>
      <c r="H326" s="94"/>
      <c r="I326" s="91"/>
    </row>
    <row r="327" spans="1:9" x14ac:dyDescent="0.3">
      <c r="A327" s="98" t="s">
        <v>163</v>
      </c>
      <c r="B327" s="99">
        <f>B247+B253+B256+B261+B264+B267+B274+B277+B280+B283+B291+B294+B299+B304+B307+B312+B321+B325</f>
        <v>178379.68000000002</v>
      </c>
      <c r="C327" s="91" t="s">
        <v>576</v>
      </c>
      <c r="D327" s="82"/>
      <c r="E327" s="82"/>
      <c r="F327" s="82"/>
      <c r="H327" s="82"/>
      <c r="I327" s="91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47B5-5B2C-46EC-9B91-D1DF50AF54BC}">
  <dimension ref="A1:P106"/>
  <sheetViews>
    <sheetView workbookViewId="0"/>
  </sheetViews>
  <sheetFormatPr defaultRowHeight="14.4" x14ac:dyDescent="0.3"/>
  <cols>
    <col min="1" max="1" width="37.77734375" customWidth="1"/>
    <col min="2" max="2" width="14.5546875" style="43" hidden="1" customWidth="1"/>
    <col min="3" max="3" width="9.5546875" style="43" hidden="1" customWidth="1"/>
    <col min="4" max="4" width="29.77734375" style="44" customWidth="1"/>
    <col min="5" max="10" width="10.77734375" customWidth="1"/>
    <col min="11" max="11" width="12.77734375" customWidth="1"/>
    <col min="12" max="16" width="10.77734375" customWidth="1"/>
  </cols>
  <sheetData>
    <row r="1" spans="1:16" ht="18.75" customHeight="1" x14ac:dyDescent="0.3">
      <c r="A1" s="36" t="s">
        <v>181</v>
      </c>
      <c r="B1" s="37"/>
      <c r="C1" s="38"/>
      <c r="D1" s="39"/>
      <c r="E1" s="41"/>
      <c r="F1" s="41"/>
      <c r="G1" s="41"/>
      <c r="H1" s="40"/>
      <c r="I1" s="40"/>
      <c r="J1" s="40"/>
      <c r="K1" s="40">
        <f>K3</f>
        <v>2023</v>
      </c>
      <c r="L1" s="41"/>
      <c r="M1" s="41"/>
      <c r="N1" s="41"/>
      <c r="O1" s="42"/>
    </row>
    <row r="3" spans="1:16" x14ac:dyDescent="0.3">
      <c r="A3" s="1" t="s">
        <v>170</v>
      </c>
      <c r="B3" s="45" t="s">
        <v>171</v>
      </c>
      <c r="C3" s="45" t="s">
        <v>172</v>
      </c>
      <c r="D3" s="46" t="s">
        <v>173</v>
      </c>
      <c r="E3" s="1">
        <v>2017</v>
      </c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</row>
    <row r="4" spans="1:16" x14ac:dyDescent="0.3">
      <c r="A4" t="s">
        <v>182</v>
      </c>
      <c r="B4" s="48" t="s">
        <v>183</v>
      </c>
      <c r="C4" s="49" t="s">
        <v>176</v>
      </c>
      <c r="D4" s="44" t="s">
        <v>184</v>
      </c>
      <c r="E4" s="50">
        <v>180</v>
      </c>
      <c r="F4" s="50">
        <v>180</v>
      </c>
      <c r="G4" s="50">
        <v>180</v>
      </c>
      <c r="H4" s="50">
        <v>180</v>
      </c>
      <c r="I4" s="50">
        <v>180</v>
      </c>
      <c r="J4" s="50"/>
      <c r="K4" s="50"/>
      <c r="L4" s="50"/>
      <c r="M4" s="50"/>
      <c r="N4" s="50"/>
      <c r="O4" s="50"/>
      <c r="P4" s="51"/>
    </row>
    <row r="5" spans="1:16" x14ac:dyDescent="0.3">
      <c r="A5" t="s">
        <v>182</v>
      </c>
      <c r="B5" s="48" t="s">
        <v>183</v>
      </c>
      <c r="C5" s="49" t="s">
        <v>176</v>
      </c>
      <c r="D5" s="44" t="s">
        <v>184</v>
      </c>
      <c r="E5" s="50">
        <v>180</v>
      </c>
      <c r="F5" s="50">
        <v>180</v>
      </c>
      <c r="G5" s="50">
        <v>180</v>
      </c>
      <c r="H5" s="50">
        <v>180</v>
      </c>
      <c r="I5" s="50">
        <v>180</v>
      </c>
      <c r="J5" s="50"/>
      <c r="K5" s="50"/>
      <c r="L5" s="50"/>
      <c r="M5" s="50"/>
      <c r="N5" s="50"/>
      <c r="O5" s="50"/>
      <c r="P5" s="51"/>
    </row>
    <row r="6" spans="1:16" x14ac:dyDescent="0.3">
      <c r="A6" t="s">
        <v>182</v>
      </c>
      <c r="B6" s="48" t="s">
        <v>183</v>
      </c>
      <c r="C6" s="49" t="s">
        <v>176</v>
      </c>
      <c r="D6" s="44" t="s">
        <v>184</v>
      </c>
      <c r="E6" s="50">
        <v>180</v>
      </c>
      <c r="F6" s="50">
        <v>180</v>
      </c>
      <c r="G6" s="50">
        <v>180</v>
      </c>
      <c r="H6" s="50">
        <v>180</v>
      </c>
      <c r="I6" s="50">
        <v>180</v>
      </c>
      <c r="J6" s="50"/>
      <c r="K6" s="50"/>
      <c r="L6" s="50"/>
      <c r="M6" s="50"/>
      <c r="N6" s="50"/>
      <c r="O6" s="50"/>
      <c r="P6" s="51"/>
    </row>
    <row r="7" spans="1:16" x14ac:dyDescent="0.3">
      <c r="A7" t="s">
        <v>182</v>
      </c>
      <c r="B7" s="48" t="s">
        <v>183</v>
      </c>
      <c r="C7" s="43" t="s">
        <v>176</v>
      </c>
      <c r="D7" s="44" t="s">
        <v>184</v>
      </c>
      <c r="E7" s="50">
        <v>180</v>
      </c>
      <c r="F7" s="50">
        <v>180</v>
      </c>
      <c r="G7" s="50">
        <v>180</v>
      </c>
      <c r="H7" s="50">
        <v>180</v>
      </c>
      <c r="I7" s="50">
        <v>180</v>
      </c>
      <c r="J7" s="50"/>
      <c r="K7" s="50"/>
      <c r="L7" s="50"/>
      <c r="M7" s="50"/>
      <c r="N7" s="50"/>
      <c r="O7" s="50"/>
      <c r="P7" s="51"/>
    </row>
    <row r="8" spans="1:16" x14ac:dyDescent="0.3">
      <c r="A8" t="s">
        <v>182</v>
      </c>
      <c r="B8" s="48" t="s">
        <v>183</v>
      </c>
      <c r="C8" s="43" t="s">
        <v>176</v>
      </c>
      <c r="D8" s="44" t="s">
        <v>184</v>
      </c>
      <c r="E8" s="50">
        <v>180</v>
      </c>
      <c r="F8" s="50">
        <v>180</v>
      </c>
      <c r="G8" s="50">
        <v>180</v>
      </c>
      <c r="H8" s="50">
        <v>180</v>
      </c>
      <c r="I8" s="50">
        <v>180</v>
      </c>
      <c r="J8" s="50"/>
      <c r="K8" s="50"/>
      <c r="L8" s="50"/>
      <c r="M8" s="50"/>
      <c r="N8" s="50"/>
      <c r="O8" s="50"/>
      <c r="P8" s="51"/>
    </row>
    <row r="9" spans="1:16" x14ac:dyDescent="0.3">
      <c r="A9" t="s">
        <v>185</v>
      </c>
      <c r="B9" s="48" t="s">
        <v>186</v>
      </c>
      <c r="C9" s="43" t="s">
        <v>176</v>
      </c>
      <c r="D9" s="44" t="s">
        <v>184</v>
      </c>
      <c r="E9" s="50"/>
      <c r="F9" s="50"/>
      <c r="G9" s="50">
        <v>180</v>
      </c>
      <c r="H9" s="50">
        <v>180</v>
      </c>
      <c r="I9" s="50">
        <v>180</v>
      </c>
      <c r="J9" s="50">
        <v>180</v>
      </c>
      <c r="K9" s="50">
        <v>180</v>
      </c>
      <c r="L9" s="50"/>
      <c r="M9" s="50"/>
      <c r="N9" s="50"/>
      <c r="O9" s="50"/>
      <c r="P9" s="51"/>
    </row>
    <row r="10" spans="1:16" x14ac:dyDescent="0.3">
      <c r="A10" t="s">
        <v>185</v>
      </c>
      <c r="B10" s="48" t="s">
        <v>186</v>
      </c>
      <c r="C10" s="43" t="s">
        <v>176</v>
      </c>
      <c r="D10" s="44" t="s">
        <v>184</v>
      </c>
      <c r="E10" s="50"/>
      <c r="F10" s="50"/>
      <c r="G10" s="50">
        <v>180</v>
      </c>
      <c r="H10" s="50">
        <v>180</v>
      </c>
      <c r="I10" s="50">
        <v>180</v>
      </c>
      <c r="J10" s="50">
        <v>180</v>
      </c>
      <c r="K10" s="50">
        <v>180</v>
      </c>
      <c r="L10" s="50"/>
      <c r="M10" s="50"/>
      <c r="N10" s="50"/>
      <c r="O10" s="50"/>
      <c r="P10" s="51"/>
    </row>
    <row r="11" spans="1:16" x14ac:dyDescent="0.3">
      <c r="A11" t="s">
        <v>185</v>
      </c>
      <c r="B11" s="48" t="s">
        <v>186</v>
      </c>
      <c r="C11" s="43" t="s">
        <v>176</v>
      </c>
      <c r="D11" s="44" t="s">
        <v>184</v>
      </c>
      <c r="E11" s="50"/>
      <c r="F11" s="50"/>
      <c r="G11" s="50">
        <v>180</v>
      </c>
      <c r="H11" s="50">
        <v>180</v>
      </c>
      <c r="I11" s="50">
        <v>180</v>
      </c>
      <c r="J11" s="50">
        <v>180</v>
      </c>
      <c r="K11" s="50">
        <v>180</v>
      </c>
      <c r="L11" s="50"/>
      <c r="M11" s="50"/>
      <c r="N11" s="50"/>
      <c r="O11" s="50"/>
      <c r="P11" s="51"/>
    </row>
    <row r="12" spans="1:16" x14ac:dyDescent="0.3">
      <c r="A12" t="s">
        <v>185</v>
      </c>
      <c r="B12" s="48" t="s">
        <v>186</v>
      </c>
      <c r="C12" s="43" t="s">
        <v>176</v>
      </c>
      <c r="D12" s="44" t="s">
        <v>184</v>
      </c>
      <c r="E12" s="50"/>
      <c r="F12" s="50"/>
      <c r="G12" s="50">
        <v>180</v>
      </c>
      <c r="H12" s="50">
        <v>180</v>
      </c>
      <c r="I12" s="50">
        <v>180</v>
      </c>
      <c r="J12" s="50">
        <v>180</v>
      </c>
      <c r="K12" s="50">
        <v>180</v>
      </c>
      <c r="L12" s="50"/>
      <c r="M12" s="50"/>
      <c r="N12" s="50"/>
      <c r="O12" s="50"/>
      <c r="P12" s="51"/>
    </row>
    <row r="13" spans="1:16" x14ac:dyDescent="0.3">
      <c r="A13" t="s">
        <v>185</v>
      </c>
      <c r="B13" s="48" t="s">
        <v>186</v>
      </c>
      <c r="C13" s="43" t="s">
        <v>176</v>
      </c>
      <c r="D13" s="44" t="s">
        <v>184</v>
      </c>
      <c r="E13" s="50"/>
      <c r="F13" s="50"/>
      <c r="G13" s="50">
        <v>180</v>
      </c>
      <c r="H13" s="50">
        <v>180</v>
      </c>
      <c r="I13" s="50">
        <v>180</v>
      </c>
      <c r="J13" s="50">
        <v>180</v>
      </c>
      <c r="K13" s="50">
        <v>180</v>
      </c>
      <c r="L13" s="50"/>
      <c r="M13" s="50"/>
      <c r="N13" s="50"/>
      <c r="O13" s="50"/>
      <c r="P13" s="51"/>
    </row>
    <row r="14" spans="1:16" x14ac:dyDescent="0.3">
      <c r="A14" s="52" t="s">
        <v>187</v>
      </c>
      <c r="B14" s="48" t="s">
        <v>188</v>
      </c>
      <c r="C14" s="43" t="s">
        <v>176</v>
      </c>
      <c r="E14" s="50"/>
      <c r="F14" s="50"/>
      <c r="G14" s="50"/>
      <c r="H14" s="50">
        <v>380</v>
      </c>
      <c r="I14" s="50">
        <v>380</v>
      </c>
      <c r="J14" s="50">
        <v>380</v>
      </c>
      <c r="K14" s="50">
        <v>380</v>
      </c>
      <c r="L14" s="70">
        <v>380</v>
      </c>
      <c r="M14" s="50"/>
      <c r="N14" s="50"/>
      <c r="O14" s="50"/>
      <c r="P14" s="51">
        <f>L14</f>
        <v>380</v>
      </c>
    </row>
    <row r="15" spans="1:16" x14ac:dyDescent="0.3">
      <c r="A15" s="52" t="s">
        <v>189</v>
      </c>
      <c r="B15" s="48" t="s">
        <v>188</v>
      </c>
      <c r="C15" s="43" t="s">
        <v>176</v>
      </c>
      <c r="E15" s="50"/>
      <c r="F15" s="50"/>
      <c r="G15" s="50"/>
      <c r="H15" s="50">
        <v>380</v>
      </c>
      <c r="I15" s="50">
        <v>380</v>
      </c>
      <c r="J15" s="50">
        <v>380</v>
      </c>
      <c r="K15" s="71">
        <v>380</v>
      </c>
      <c r="L15" s="50">
        <v>380</v>
      </c>
      <c r="M15" s="50"/>
      <c r="N15" s="50"/>
      <c r="O15" s="50"/>
      <c r="P15" s="50"/>
    </row>
    <row r="16" spans="1:16" x14ac:dyDescent="0.3">
      <c r="A16" s="52" t="s">
        <v>189</v>
      </c>
      <c r="B16" s="48" t="s">
        <v>188</v>
      </c>
      <c r="C16" s="43" t="s">
        <v>176</v>
      </c>
      <c r="E16" s="50"/>
      <c r="F16" s="50"/>
      <c r="G16" s="50"/>
      <c r="H16" s="50">
        <v>380</v>
      </c>
      <c r="I16" s="50">
        <v>380</v>
      </c>
      <c r="J16" s="50">
        <v>380</v>
      </c>
      <c r="K16" s="71">
        <v>380</v>
      </c>
      <c r="L16" s="50">
        <v>380</v>
      </c>
      <c r="M16" s="50"/>
      <c r="N16" s="50"/>
      <c r="O16" s="50"/>
      <c r="P16" s="50"/>
    </row>
    <row r="17" spans="1:16" x14ac:dyDescent="0.3">
      <c r="A17" s="52" t="s">
        <v>189</v>
      </c>
      <c r="B17" s="48" t="s">
        <v>188</v>
      </c>
      <c r="C17" s="43" t="s">
        <v>176</v>
      </c>
      <c r="E17" s="50"/>
      <c r="F17" s="50"/>
      <c r="G17" s="50"/>
      <c r="H17" s="50">
        <v>380</v>
      </c>
      <c r="I17" s="50">
        <v>380</v>
      </c>
      <c r="J17" s="50">
        <v>380</v>
      </c>
      <c r="K17" s="71">
        <v>380</v>
      </c>
      <c r="L17" s="50">
        <v>380</v>
      </c>
      <c r="M17" s="50"/>
      <c r="N17" s="50"/>
      <c r="O17" s="50"/>
      <c r="P17" s="50"/>
    </row>
    <row r="18" spans="1:16" x14ac:dyDescent="0.3">
      <c r="A18" s="52" t="s">
        <v>189</v>
      </c>
      <c r="B18" s="48" t="s">
        <v>188</v>
      </c>
      <c r="C18" s="43" t="s">
        <v>176</v>
      </c>
      <c r="E18" s="50"/>
      <c r="F18" s="50"/>
      <c r="G18" s="50"/>
      <c r="H18" s="50">
        <v>380</v>
      </c>
      <c r="I18" s="50">
        <v>380</v>
      </c>
      <c r="J18" s="50">
        <v>380</v>
      </c>
      <c r="K18" s="71">
        <v>380</v>
      </c>
      <c r="L18" s="50">
        <v>380</v>
      </c>
      <c r="M18" s="50"/>
      <c r="N18" s="50"/>
      <c r="O18" s="50"/>
      <c r="P18" s="50"/>
    </row>
    <row r="19" spans="1:16" x14ac:dyDescent="0.3">
      <c r="A19" s="52" t="s">
        <v>189</v>
      </c>
      <c r="B19" s="48" t="s">
        <v>188</v>
      </c>
      <c r="C19" s="43" t="s">
        <v>176</v>
      </c>
      <c r="E19" s="50"/>
      <c r="F19" s="50"/>
      <c r="G19" s="50"/>
      <c r="H19" s="50">
        <v>380</v>
      </c>
      <c r="I19" s="50">
        <v>380</v>
      </c>
      <c r="J19" s="50">
        <v>380</v>
      </c>
      <c r="K19" s="71">
        <v>380</v>
      </c>
      <c r="L19" s="50">
        <v>380</v>
      </c>
      <c r="M19" s="50"/>
      <c r="N19" s="50"/>
      <c r="O19" s="50"/>
      <c r="P19" s="50"/>
    </row>
    <row r="20" spans="1:16" x14ac:dyDescent="0.3">
      <c r="A20" s="52" t="s">
        <v>190</v>
      </c>
      <c r="B20" s="48" t="s">
        <v>188</v>
      </c>
      <c r="C20" s="43" t="s">
        <v>176</v>
      </c>
      <c r="E20" s="50"/>
      <c r="F20" s="50"/>
      <c r="G20" s="50"/>
      <c r="H20" s="50">
        <v>380</v>
      </c>
      <c r="I20" s="50">
        <v>380</v>
      </c>
      <c r="J20" s="50">
        <v>380</v>
      </c>
      <c r="K20" s="71">
        <v>380</v>
      </c>
      <c r="L20" s="50">
        <v>380</v>
      </c>
      <c r="M20" s="50"/>
      <c r="N20" s="50"/>
      <c r="O20" s="50"/>
      <c r="P20" s="50"/>
    </row>
    <row r="21" spans="1:16" x14ac:dyDescent="0.3">
      <c r="A21" s="52" t="s">
        <v>191</v>
      </c>
      <c r="B21" s="48" t="s">
        <v>188</v>
      </c>
      <c r="C21" s="43" t="s">
        <v>176</v>
      </c>
      <c r="E21" s="50"/>
      <c r="F21" s="50"/>
      <c r="G21" s="50"/>
      <c r="H21" s="50">
        <v>380</v>
      </c>
      <c r="I21" s="50">
        <v>380</v>
      </c>
      <c r="J21" s="50">
        <v>380</v>
      </c>
      <c r="K21" s="71">
        <v>380</v>
      </c>
      <c r="L21" s="50">
        <v>380</v>
      </c>
      <c r="M21" s="50"/>
      <c r="N21" s="50"/>
      <c r="O21" s="50"/>
      <c r="P21" s="50"/>
    </row>
    <row r="22" spans="1:16" x14ac:dyDescent="0.3">
      <c r="A22" s="52" t="s">
        <v>333</v>
      </c>
      <c r="B22" s="48" t="s">
        <v>188</v>
      </c>
      <c r="C22" s="43" t="s">
        <v>176</v>
      </c>
      <c r="E22" s="50"/>
      <c r="F22" s="50"/>
      <c r="G22" s="50"/>
      <c r="H22" s="50">
        <v>380</v>
      </c>
      <c r="I22" s="50">
        <v>380</v>
      </c>
      <c r="J22" s="50">
        <v>380</v>
      </c>
      <c r="K22" s="71">
        <v>380</v>
      </c>
      <c r="L22" s="50">
        <v>380</v>
      </c>
      <c r="M22" s="50"/>
      <c r="N22" s="50"/>
      <c r="O22" s="50"/>
      <c r="P22" s="50"/>
    </row>
    <row r="23" spans="1:16" x14ac:dyDescent="0.3">
      <c r="A23" s="52" t="s">
        <v>192</v>
      </c>
      <c r="B23" s="48" t="s">
        <v>188</v>
      </c>
      <c r="C23" s="43" t="s">
        <v>176</v>
      </c>
      <c r="E23" s="50"/>
      <c r="F23" s="50"/>
      <c r="G23" s="50"/>
      <c r="H23" s="50">
        <v>380</v>
      </c>
      <c r="I23" s="50">
        <v>380</v>
      </c>
      <c r="J23" s="50">
        <v>380</v>
      </c>
      <c r="K23" s="71">
        <v>380</v>
      </c>
      <c r="L23" s="50">
        <v>380</v>
      </c>
      <c r="M23" s="50"/>
      <c r="N23" s="50"/>
      <c r="O23" s="50"/>
      <c r="P23" s="50"/>
    </row>
    <row r="24" spans="1:16" x14ac:dyDescent="0.3">
      <c r="A24" s="53" t="s">
        <v>193</v>
      </c>
      <c r="B24" s="48" t="s">
        <v>188</v>
      </c>
      <c r="C24" s="43" t="s">
        <v>176</v>
      </c>
      <c r="D24" s="44" t="s">
        <v>184</v>
      </c>
      <c r="E24" s="50"/>
      <c r="F24" s="50"/>
      <c r="G24" s="50"/>
      <c r="H24" s="50">
        <v>200</v>
      </c>
      <c r="I24" s="50">
        <v>200</v>
      </c>
      <c r="J24" s="50">
        <v>200</v>
      </c>
      <c r="K24" s="50">
        <v>200</v>
      </c>
      <c r="L24" s="70">
        <v>200</v>
      </c>
      <c r="M24" s="50"/>
      <c r="N24" s="50"/>
      <c r="O24" s="50"/>
      <c r="P24" s="51">
        <f>L24</f>
        <v>200</v>
      </c>
    </row>
    <row r="25" spans="1:16" x14ac:dyDescent="0.3">
      <c r="A25" s="53" t="s">
        <v>193</v>
      </c>
      <c r="B25" s="48" t="s">
        <v>188</v>
      </c>
      <c r="C25" s="43" t="s">
        <v>176</v>
      </c>
      <c r="D25" s="44" t="s">
        <v>184</v>
      </c>
      <c r="E25" s="50"/>
      <c r="F25" s="50"/>
      <c r="G25" s="50"/>
      <c r="H25" s="50">
        <v>200</v>
      </c>
      <c r="I25" s="50">
        <v>200</v>
      </c>
      <c r="J25" s="50">
        <v>200</v>
      </c>
      <c r="K25" s="50">
        <v>200</v>
      </c>
      <c r="L25" s="70">
        <v>200</v>
      </c>
      <c r="M25" s="50"/>
      <c r="N25" s="50"/>
      <c r="O25" s="50"/>
      <c r="P25" s="51">
        <f t="shared" ref="P25:P28" si="0">L25</f>
        <v>200</v>
      </c>
    </row>
    <row r="26" spans="1:16" x14ac:dyDescent="0.3">
      <c r="A26" s="53" t="s">
        <v>193</v>
      </c>
      <c r="B26" s="48" t="s">
        <v>188</v>
      </c>
      <c r="C26" s="43" t="s">
        <v>176</v>
      </c>
      <c r="D26" s="44" t="s">
        <v>184</v>
      </c>
      <c r="E26" s="50"/>
      <c r="F26" s="50"/>
      <c r="G26" s="50"/>
      <c r="H26" s="50">
        <v>200</v>
      </c>
      <c r="I26" s="50">
        <v>200</v>
      </c>
      <c r="J26" s="50">
        <v>200</v>
      </c>
      <c r="K26" s="50">
        <v>200</v>
      </c>
      <c r="L26" s="70">
        <v>200</v>
      </c>
      <c r="M26" s="50"/>
      <c r="N26" s="50"/>
      <c r="O26" s="50"/>
      <c r="P26" s="51">
        <f t="shared" si="0"/>
        <v>200</v>
      </c>
    </row>
    <row r="27" spans="1:16" x14ac:dyDescent="0.3">
      <c r="A27" s="53" t="s">
        <v>193</v>
      </c>
      <c r="B27" s="48" t="s">
        <v>188</v>
      </c>
      <c r="C27" s="43" t="s">
        <v>176</v>
      </c>
      <c r="D27" s="44" t="s">
        <v>184</v>
      </c>
      <c r="E27" s="50"/>
      <c r="F27" s="50"/>
      <c r="G27" s="50"/>
      <c r="H27" s="50">
        <v>200</v>
      </c>
      <c r="I27" s="50">
        <v>200</v>
      </c>
      <c r="J27" s="50">
        <v>200</v>
      </c>
      <c r="K27" s="50">
        <v>200</v>
      </c>
      <c r="L27" s="70">
        <v>200</v>
      </c>
      <c r="M27" s="50"/>
      <c r="N27" s="50"/>
      <c r="O27" s="50"/>
      <c r="P27" s="51">
        <f t="shared" si="0"/>
        <v>200</v>
      </c>
    </row>
    <row r="28" spans="1:16" x14ac:dyDescent="0.3">
      <c r="A28" s="53" t="s">
        <v>193</v>
      </c>
      <c r="B28" s="48" t="s">
        <v>188</v>
      </c>
      <c r="C28" s="43" t="s">
        <v>176</v>
      </c>
      <c r="D28" s="44" t="s">
        <v>184</v>
      </c>
      <c r="E28" s="50"/>
      <c r="F28" s="50"/>
      <c r="G28" s="50"/>
      <c r="H28" s="50">
        <v>200</v>
      </c>
      <c r="I28" s="50">
        <v>200</v>
      </c>
      <c r="J28" s="50">
        <v>200</v>
      </c>
      <c r="K28" s="50">
        <v>200</v>
      </c>
      <c r="L28" s="70">
        <v>200</v>
      </c>
      <c r="M28" s="50"/>
      <c r="N28" s="50"/>
      <c r="O28" s="50"/>
      <c r="P28" s="51">
        <f t="shared" si="0"/>
        <v>200</v>
      </c>
    </row>
    <row r="29" spans="1:16" x14ac:dyDescent="0.3">
      <c r="A29" s="53" t="s">
        <v>194</v>
      </c>
      <c r="B29" s="48" t="s">
        <v>188</v>
      </c>
      <c r="C29" s="43" t="s">
        <v>176</v>
      </c>
      <c r="E29" s="50"/>
      <c r="F29" s="50"/>
      <c r="G29" s="50"/>
      <c r="H29" s="50">
        <v>200</v>
      </c>
      <c r="I29" s="50">
        <f>190</f>
        <v>190</v>
      </c>
      <c r="J29" s="50">
        <f>190</f>
        <v>190</v>
      </c>
      <c r="K29" s="71">
        <f>190</f>
        <v>190</v>
      </c>
      <c r="L29" s="50">
        <f>190</f>
        <v>190</v>
      </c>
      <c r="M29" s="50"/>
      <c r="N29" s="50"/>
      <c r="O29" s="50"/>
      <c r="P29" s="50"/>
    </row>
    <row r="30" spans="1:16" x14ac:dyDescent="0.3">
      <c r="A30" s="52" t="s">
        <v>195</v>
      </c>
      <c r="B30" s="48" t="s">
        <v>188</v>
      </c>
      <c r="C30" s="43" t="s">
        <v>176</v>
      </c>
      <c r="E30" s="50"/>
      <c r="F30" s="50"/>
      <c r="G30" s="50"/>
      <c r="H30" s="50">
        <v>190</v>
      </c>
      <c r="I30" s="50">
        <v>190</v>
      </c>
      <c r="J30" s="50">
        <v>190</v>
      </c>
      <c r="K30" s="71">
        <v>190</v>
      </c>
      <c r="L30" s="50">
        <v>190</v>
      </c>
      <c r="M30" s="50"/>
      <c r="N30" s="50"/>
      <c r="O30" s="50"/>
      <c r="P30" s="50"/>
    </row>
    <row r="31" spans="1:16" x14ac:dyDescent="0.3">
      <c r="A31" s="52" t="s">
        <v>196</v>
      </c>
      <c r="B31" s="48" t="s">
        <v>188</v>
      </c>
      <c r="C31" s="43" t="s">
        <v>176</v>
      </c>
      <c r="E31" s="50"/>
      <c r="F31" s="50"/>
      <c r="G31" s="50"/>
      <c r="H31" s="50">
        <v>190</v>
      </c>
      <c r="I31" s="50">
        <v>190</v>
      </c>
      <c r="J31" s="50">
        <v>190</v>
      </c>
      <c r="K31" s="71">
        <v>190</v>
      </c>
      <c r="L31" s="50">
        <v>190</v>
      </c>
      <c r="M31" s="50"/>
      <c r="N31" s="50"/>
      <c r="O31" s="50"/>
      <c r="P31" s="50"/>
    </row>
    <row r="32" spans="1:16" x14ac:dyDescent="0.3">
      <c r="A32" s="52" t="s">
        <v>197</v>
      </c>
      <c r="B32" s="48" t="s">
        <v>188</v>
      </c>
      <c r="C32" s="43" t="s">
        <v>176</v>
      </c>
      <c r="E32" s="50"/>
      <c r="F32" s="50"/>
      <c r="G32" s="50"/>
      <c r="H32" s="50">
        <v>190</v>
      </c>
      <c r="I32" s="50">
        <v>190</v>
      </c>
      <c r="J32" s="50">
        <v>190</v>
      </c>
      <c r="K32" s="71">
        <v>190</v>
      </c>
      <c r="L32" s="50">
        <v>190</v>
      </c>
      <c r="M32" s="50"/>
      <c r="N32" s="50"/>
      <c r="O32" s="50"/>
      <c r="P32" s="50"/>
    </row>
    <row r="33" spans="1:16" x14ac:dyDescent="0.3">
      <c r="A33" s="52" t="s">
        <v>198</v>
      </c>
      <c r="B33" s="48" t="s">
        <v>188</v>
      </c>
      <c r="C33" s="43" t="s">
        <v>176</v>
      </c>
      <c r="E33" s="50"/>
      <c r="F33" s="50"/>
      <c r="G33" s="50"/>
      <c r="H33" s="50">
        <v>190</v>
      </c>
      <c r="I33" s="50">
        <v>190</v>
      </c>
      <c r="J33" s="50">
        <f>380</f>
        <v>380</v>
      </c>
      <c r="K33" s="71">
        <f>380</f>
        <v>380</v>
      </c>
      <c r="L33" s="50">
        <f>380</f>
        <v>380</v>
      </c>
      <c r="M33" s="50"/>
      <c r="N33" s="50"/>
      <c r="O33" s="50"/>
      <c r="P33" s="50"/>
    </row>
    <row r="34" spans="1:16" x14ac:dyDescent="0.3">
      <c r="A34" s="52" t="s">
        <v>199</v>
      </c>
      <c r="B34" s="48" t="s">
        <v>188</v>
      </c>
      <c r="C34" s="43" t="s">
        <v>176</v>
      </c>
      <c r="E34" s="50"/>
      <c r="F34" s="50"/>
      <c r="G34" s="50"/>
      <c r="H34" s="50">
        <v>190</v>
      </c>
      <c r="I34" s="50">
        <f>190</f>
        <v>190</v>
      </c>
      <c r="J34" s="50">
        <f>380</f>
        <v>380</v>
      </c>
      <c r="K34" s="79">
        <f>380</f>
        <v>380</v>
      </c>
      <c r="L34" s="50">
        <f>380</f>
        <v>380</v>
      </c>
      <c r="M34" s="50"/>
      <c r="N34" s="50"/>
      <c r="O34" s="50"/>
      <c r="P34" s="50"/>
    </row>
    <row r="35" spans="1:16" x14ac:dyDescent="0.3">
      <c r="A35" s="52" t="s">
        <v>200</v>
      </c>
      <c r="B35" s="48" t="s">
        <v>188</v>
      </c>
      <c r="C35" s="43" t="s">
        <v>176</v>
      </c>
      <c r="E35" s="50"/>
      <c r="F35" s="50"/>
      <c r="G35" s="50"/>
      <c r="H35" s="50">
        <v>190</v>
      </c>
      <c r="I35" s="50">
        <v>190</v>
      </c>
      <c r="J35" s="50">
        <v>190</v>
      </c>
      <c r="K35" s="71">
        <v>190</v>
      </c>
      <c r="L35" s="50">
        <v>190</v>
      </c>
      <c r="M35" s="50"/>
      <c r="N35" s="50"/>
      <c r="O35" s="50"/>
      <c r="P35" s="50"/>
    </row>
    <row r="36" spans="1:16" x14ac:dyDescent="0.3">
      <c r="A36" s="52" t="s">
        <v>201</v>
      </c>
      <c r="B36" s="48" t="s">
        <v>188</v>
      </c>
      <c r="C36" s="43" t="s">
        <v>176</v>
      </c>
      <c r="E36" s="50"/>
      <c r="F36" s="50"/>
      <c r="G36" s="50"/>
      <c r="H36" s="50">
        <v>190</v>
      </c>
      <c r="I36" s="50">
        <v>190</v>
      </c>
      <c r="J36" s="50">
        <v>190</v>
      </c>
      <c r="K36" s="50">
        <v>190</v>
      </c>
      <c r="L36" s="70">
        <v>190</v>
      </c>
      <c r="M36" s="50"/>
      <c r="N36" s="50"/>
      <c r="O36" s="50"/>
      <c r="P36" s="51">
        <f>L36</f>
        <v>190</v>
      </c>
    </row>
    <row r="37" spans="1:16" x14ac:dyDescent="0.3">
      <c r="A37" s="52" t="s">
        <v>202</v>
      </c>
      <c r="B37" s="48" t="s">
        <v>188</v>
      </c>
      <c r="C37" s="43" t="s">
        <v>176</v>
      </c>
      <c r="E37" s="50"/>
      <c r="F37" s="50"/>
      <c r="G37" s="50"/>
      <c r="H37" s="50">
        <v>190</v>
      </c>
      <c r="I37" s="50">
        <v>190</v>
      </c>
      <c r="J37" s="50">
        <f>380</f>
        <v>380</v>
      </c>
      <c r="K37" s="71">
        <f>380</f>
        <v>380</v>
      </c>
      <c r="L37" s="50">
        <f>380</f>
        <v>380</v>
      </c>
      <c r="M37" s="50"/>
      <c r="N37" s="50"/>
      <c r="O37" s="50"/>
      <c r="P37" s="50"/>
    </row>
    <row r="38" spans="1:16" x14ac:dyDescent="0.3">
      <c r="A38" s="53" t="s">
        <v>193</v>
      </c>
      <c r="B38" s="48" t="s">
        <v>188</v>
      </c>
      <c r="C38" s="43" t="s">
        <v>176</v>
      </c>
      <c r="E38" s="50"/>
      <c r="F38" s="50"/>
      <c r="G38" s="54"/>
      <c r="H38" s="50">
        <v>200</v>
      </c>
      <c r="I38" s="50">
        <v>200</v>
      </c>
      <c r="J38" s="50">
        <v>200</v>
      </c>
      <c r="K38" s="50">
        <v>200</v>
      </c>
      <c r="L38" s="70">
        <v>200</v>
      </c>
      <c r="M38" s="50"/>
      <c r="N38" s="50"/>
      <c r="O38" s="50"/>
      <c r="P38" s="51">
        <f>L38</f>
        <v>200</v>
      </c>
    </row>
    <row r="39" spans="1:16" x14ac:dyDescent="0.3">
      <c r="A39" s="52" t="s">
        <v>203</v>
      </c>
      <c r="B39" s="48" t="s">
        <v>188</v>
      </c>
      <c r="C39" s="43" t="s">
        <v>176</v>
      </c>
      <c r="E39" s="50"/>
      <c r="F39" s="50"/>
      <c r="G39" s="50"/>
      <c r="H39" s="50">
        <v>190</v>
      </c>
      <c r="I39" s="50">
        <v>190</v>
      </c>
      <c r="J39" s="50">
        <f>380</f>
        <v>380</v>
      </c>
      <c r="K39" s="71">
        <f>380</f>
        <v>380</v>
      </c>
      <c r="L39" s="50">
        <f>380</f>
        <v>380</v>
      </c>
      <c r="M39" s="50"/>
      <c r="N39" s="50"/>
      <c r="O39" s="50"/>
      <c r="P39" s="50"/>
    </row>
    <row r="40" spans="1:16" x14ac:dyDescent="0.3">
      <c r="A40" s="53" t="s">
        <v>204</v>
      </c>
      <c r="B40" s="48" t="s">
        <v>188</v>
      </c>
      <c r="C40" s="43" t="s">
        <v>176</v>
      </c>
      <c r="E40" s="50"/>
      <c r="F40" s="50"/>
      <c r="G40" s="50"/>
      <c r="H40" s="50">
        <v>500</v>
      </c>
      <c r="I40" s="50">
        <v>500</v>
      </c>
      <c r="J40" s="50">
        <v>500</v>
      </c>
      <c r="K40" s="71">
        <v>500</v>
      </c>
      <c r="L40" s="50">
        <v>500</v>
      </c>
      <c r="M40" s="50"/>
      <c r="N40" s="50"/>
      <c r="O40" s="50"/>
      <c r="P40" s="50"/>
    </row>
    <row r="41" spans="1:16" x14ac:dyDescent="0.3">
      <c r="A41" s="52" t="s">
        <v>189</v>
      </c>
      <c r="B41" s="48" t="s">
        <v>188</v>
      </c>
      <c r="C41" s="43" t="s">
        <v>176</v>
      </c>
      <c r="E41" s="50"/>
      <c r="F41" s="50"/>
      <c r="G41" s="50"/>
      <c r="H41" s="50">
        <v>190</v>
      </c>
      <c r="I41" s="50">
        <v>190</v>
      </c>
      <c r="J41" s="50">
        <v>190</v>
      </c>
      <c r="K41" s="50">
        <v>190</v>
      </c>
      <c r="L41" s="70">
        <v>190</v>
      </c>
      <c r="M41" s="50"/>
      <c r="N41" s="50"/>
      <c r="O41" s="50"/>
      <c r="P41" s="51">
        <f>L41</f>
        <v>190</v>
      </c>
    </row>
    <row r="42" spans="1:16" x14ac:dyDescent="0.3">
      <c r="A42" s="52" t="s">
        <v>189</v>
      </c>
      <c r="B42" s="48" t="s">
        <v>188</v>
      </c>
      <c r="C42" s="43" t="s">
        <v>176</v>
      </c>
      <c r="E42" s="50"/>
      <c r="F42" s="50"/>
      <c r="G42" s="50"/>
      <c r="H42" s="50">
        <v>380</v>
      </c>
      <c r="I42" s="50">
        <v>380</v>
      </c>
      <c r="J42" s="50">
        <v>380</v>
      </c>
      <c r="K42" s="50">
        <v>380</v>
      </c>
      <c r="L42" s="70">
        <v>380</v>
      </c>
      <c r="M42" s="50"/>
      <c r="N42" s="50"/>
      <c r="O42" s="50"/>
      <c r="P42" s="51">
        <f>L42</f>
        <v>380</v>
      </c>
    </row>
    <row r="43" spans="1:16" x14ac:dyDescent="0.3">
      <c r="A43" s="52" t="s">
        <v>205</v>
      </c>
      <c r="B43" s="48" t="s">
        <v>188</v>
      </c>
      <c r="C43" s="43" t="s">
        <v>176</v>
      </c>
      <c r="E43" s="50"/>
      <c r="F43" s="50"/>
      <c r="G43" s="50"/>
      <c r="H43" s="50">
        <f>190</f>
        <v>190</v>
      </c>
      <c r="I43" s="50">
        <f>190</f>
        <v>190</v>
      </c>
      <c r="J43" s="50">
        <f>190</f>
        <v>190</v>
      </c>
      <c r="K43" s="71">
        <f>190</f>
        <v>190</v>
      </c>
      <c r="L43" s="50">
        <f>190</f>
        <v>190</v>
      </c>
      <c r="M43" s="50"/>
      <c r="N43" s="50"/>
      <c r="O43" s="50"/>
      <c r="P43" s="50"/>
    </row>
    <row r="44" spans="1:16" x14ac:dyDescent="0.3">
      <c r="A44" s="52" t="s">
        <v>206</v>
      </c>
      <c r="B44" s="48" t="s">
        <v>188</v>
      </c>
      <c r="C44" s="43" t="s">
        <v>176</v>
      </c>
      <c r="E44" s="50"/>
      <c r="F44" s="50"/>
      <c r="G44" s="50"/>
      <c r="H44" s="50">
        <f>190</f>
        <v>190</v>
      </c>
      <c r="I44" s="50">
        <f>190</f>
        <v>190</v>
      </c>
      <c r="J44" s="50">
        <f>190</f>
        <v>190</v>
      </c>
      <c r="K44" s="71">
        <f>190</f>
        <v>190</v>
      </c>
      <c r="L44" s="50">
        <f>190</f>
        <v>190</v>
      </c>
      <c r="M44" s="50"/>
      <c r="N44" s="50"/>
      <c r="O44" s="50"/>
      <c r="P44" s="50"/>
    </row>
    <row r="45" spans="1:16" x14ac:dyDescent="0.3">
      <c r="A45" s="52" t="s">
        <v>207</v>
      </c>
      <c r="B45" s="48" t="s">
        <v>188</v>
      </c>
      <c r="C45" s="43" t="s">
        <v>176</v>
      </c>
      <c r="E45" s="50"/>
      <c r="F45" s="50"/>
      <c r="G45" s="50"/>
      <c r="H45" s="50">
        <f>190</f>
        <v>190</v>
      </c>
      <c r="I45" s="50">
        <f>190</f>
        <v>190</v>
      </c>
      <c r="J45" s="50">
        <f>380</f>
        <v>380</v>
      </c>
      <c r="K45" s="71">
        <f>380</f>
        <v>380</v>
      </c>
      <c r="L45" s="50">
        <f>380</f>
        <v>380</v>
      </c>
      <c r="M45" s="50"/>
      <c r="N45" s="50"/>
      <c r="O45" s="50"/>
      <c r="P45" s="50"/>
    </row>
    <row r="46" spans="1:16" x14ac:dyDescent="0.3">
      <c r="A46" s="47" t="s">
        <v>208</v>
      </c>
      <c r="B46" s="48" t="s">
        <v>188</v>
      </c>
      <c r="C46" s="43" t="s">
        <v>176</v>
      </c>
      <c r="E46" s="50"/>
      <c r="F46" s="50"/>
      <c r="G46" s="50"/>
      <c r="H46" s="50">
        <f>190</f>
        <v>190</v>
      </c>
      <c r="I46" s="50">
        <f>190</f>
        <v>190</v>
      </c>
      <c r="J46" s="50">
        <f>190</f>
        <v>190</v>
      </c>
      <c r="K46" s="50">
        <f>190</f>
        <v>190</v>
      </c>
      <c r="L46" s="70">
        <f>190</f>
        <v>190</v>
      </c>
      <c r="M46" s="50"/>
      <c r="N46" s="50"/>
      <c r="O46" s="50"/>
      <c r="P46" s="51">
        <f>L46</f>
        <v>190</v>
      </c>
    </row>
    <row r="47" spans="1:16" x14ac:dyDescent="0.3">
      <c r="A47" s="47" t="s">
        <v>208</v>
      </c>
      <c r="B47" s="48" t="s">
        <v>188</v>
      </c>
      <c r="C47" s="43" t="s">
        <v>176</v>
      </c>
      <c r="E47" s="50"/>
      <c r="F47" s="50"/>
      <c r="G47" s="50"/>
      <c r="H47" s="50">
        <f>190</f>
        <v>190</v>
      </c>
      <c r="I47" s="50">
        <f>190</f>
        <v>190</v>
      </c>
      <c r="J47" s="50">
        <f>190</f>
        <v>190</v>
      </c>
      <c r="K47" s="50">
        <f>190</f>
        <v>190</v>
      </c>
      <c r="L47" s="70">
        <f>190</f>
        <v>190</v>
      </c>
      <c r="M47" s="50"/>
      <c r="N47" s="50"/>
      <c r="O47" s="50"/>
      <c r="P47" s="51">
        <f>L47</f>
        <v>190</v>
      </c>
    </row>
    <row r="48" spans="1:16" x14ac:dyDescent="0.3">
      <c r="A48" s="47" t="s">
        <v>209</v>
      </c>
      <c r="B48" s="48" t="s">
        <v>188</v>
      </c>
      <c r="C48" s="43" t="s">
        <v>176</v>
      </c>
      <c r="E48" s="50"/>
      <c r="F48" s="50"/>
      <c r="G48" s="50"/>
      <c r="H48" s="50">
        <f>190</f>
        <v>190</v>
      </c>
      <c r="I48" s="50">
        <f>190</f>
        <v>190</v>
      </c>
      <c r="J48" s="50">
        <f>190</f>
        <v>190</v>
      </c>
      <c r="K48" s="50">
        <f>190</f>
        <v>190</v>
      </c>
      <c r="L48" s="70">
        <f>190</f>
        <v>190</v>
      </c>
      <c r="M48" s="50"/>
      <c r="N48" s="50"/>
      <c r="O48" s="50"/>
      <c r="P48" s="51">
        <f>L48</f>
        <v>190</v>
      </c>
    </row>
    <row r="49" spans="1:16" x14ac:dyDescent="0.3">
      <c r="A49" s="47" t="s">
        <v>210</v>
      </c>
      <c r="B49" s="48" t="s">
        <v>188</v>
      </c>
      <c r="C49" s="43" t="s">
        <v>176</v>
      </c>
      <c r="E49" s="50"/>
      <c r="F49" s="50"/>
      <c r="G49" s="50"/>
      <c r="H49" s="50">
        <f>380</f>
        <v>380</v>
      </c>
      <c r="I49" s="50">
        <f>380</f>
        <v>380</v>
      </c>
      <c r="J49" s="50">
        <f>380</f>
        <v>380</v>
      </c>
      <c r="K49" s="79">
        <f>380</f>
        <v>380</v>
      </c>
      <c r="L49" s="50">
        <f>380</f>
        <v>380</v>
      </c>
      <c r="M49" s="50"/>
      <c r="N49" s="50"/>
      <c r="O49" s="50"/>
      <c r="P49" s="50"/>
    </row>
    <row r="50" spans="1:16" x14ac:dyDescent="0.3">
      <c r="A50" s="47" t="s">
        <v>211</v>
      </c>
      <c r="B50" s="48" t="s">
        <v>188</v>
      </c>
      <c r="C50" s="43" t="s">
        <v>176</v>
      </c>
      <c r="E50" s="50"/>
      <c r="F50" s="50"/>
      <c r="G50" s="50"/>
      <c r="H50" s="50">
        <f>380</f>
        <v>380</v>
      </c>
      <c r="I50" s="50">
        <f>380</f>
        <v>380</v>
      </c>
      <c r="J50" s="50">
        <f>380</f>
        <v>380</v>
      </c>
      <c r="K50" s="71">
        <f>380</f>
        <v>380</v>
      </c>
      <c r="L50" s="50">
        <f>380</f>
        <v>380</v>
      </c>
      <c r="M50" s="50"/>
      <c r="N50" s="50"/>
      <c r="O50" s="50"/>
      <c r="P50" s="50"/>
    </row>
    <row r="51" spans="1:16" x14ac:dyDescent="0.3">
      <c r="A51" s="47" t="s">
        <v>189</v>
      </c>
      <c r="B51" s="48" t="s">
        <v>188</v>
      </c>
      <c r="C51" s="43" t="s">
        <v>176</v>
      </c>
      <c r="E51" s="50"/>
      <c r="F51" s="50"/>
      <c r="G51" s="50"/>
      <c r="H51" s="50">
        <f>190</f>
        <v>190</v>
      </c>
      <c r="I51" s="50">
        <f>190</f>
        <v>190</v>
      </c>
      <c r="J51" s="50">
        <f>190</f>
        <v>190</v>
      </c>
      <c r="K51" s="50">
        <f>190</f>
        <v>190</v>
      </c>
      <c r="L51" s="70">
        <f>190</f>
        <v>190</v>
      </c>
      <c r="M51" s="50"/>
      <c r="N51" s="50"/>
      <c r="O51" s="50"/>
      <c r="P51" s="51">
        <f>L51</f>
        <v>190</v>
      </c>
    </row>
    <row r="52" spans="1:16" x14ac:dyDescent="0.3">
      <c r="A52" s="47" t="s">
        <v>189</v>
      </c>
      <c r="B52" s="48" t="s">
        <v>188</v>
      </c>
      <c r="C52" s="43" t="s">
        <v>176</v>
      </c>
      <c r="E52" s="50"/>
      <c r="F52" s="50"/>
      <c r="G52" s="50"/>
      <c r="H52" s="50">
        <f>190</f>
        <v>190</v>
      </c>
      <c r="I52" s="50">
        <f>190</f>
        <v>190</v>
      </c>
      <c r="J52" s="50">
        <f>190</f>
        <v>190</v>
      </c>
      <c r="K52" s="50">
        <f>190</f>
        <v>190</v>
      </c>
      <c r="L52" s="70">
        <f>190</f>
        <v>190</v>
      </c>
      <c r="M52" s="50"/>
      <c r="N52" s="50"/>
      <c r="O52" s="50"/>
      <c r="P52" s="51">
        <f t="shared" ref="P52:P53" si="1">L52</f>
        <v>190</v>
      </c>
    </row>
    <row r="53" spans="1:16" x14ac:dyDescent="0.3">
      <c r="A53" s="47" t="s">
        <v>189</v>
      </c>
      <c r="B53" s="48" t="s">
        <v>188</v>
      </c>
      <c r="C53" s="43" t="s">
        <v>176</v>
      </c>
      <c r="E53" s="50"/>
      <c r="F53" s="50"/>
      <c r="G53" s="50"/>
      <c r="H53" s="50">
        <f>190</f>
        <v>190</v>
      </c>
      <c r="I53" s="50">
        <f>190</f>
        <v>190</v>
      </c>
      <c r="J53" s="50">
        <f>190</f>
        <v>190</v>
      </c>
      <c r="K53" s="50">
        <f>190</f>
        <v>190</v>
      </c>
      <c r="L53" s="70">
        <f>190</f>
        <v>190</v>
      </c>
      <c r="M53" s="50"/>
      <c r="N53" s="50"/>
      <c r="O53" s="50"/>
      <c r="P53" s="51">
        <f t="shared" si="1"/>
        <v>190</v>
      </c>
    </row>
    <row r="54" spans="1:16" x14ac:dyDescent="0.3">
      <c r="A54" s="47" t="s">
        <v>212</v>
      </c>
      <c r="B54" s="48" t="s">
        <v>188</v>
      </c>
      <c r="C54" s="43" t="s">
        <v>176</v>
      </c>
      <c r="E54" s="50"/>
      <c r="F54" s="50"/>
      <c r="G54" s="50"/>
      <c r="H54" s="50">
        <f>380</f>
        <v>380</v>
      </c>
      <c r="I54" s="50">
        <f>380</f>
        <v>380</v>
      </c>
      <c r="J54" s="50">
        <f>380</f>
        <v>380</v>
      </c>
      <c r="K54" s="71">
        <f>380</f>
        <v>380</v>
      </c>
      <c r="L54" s="50">
        <f>380</f>
        <v>380</v>
      </c>
      <c r="M54" s="50"/>
      <c r="N54" s="50"/>
      <c r="O54" s="50"/>
      <c r="P54" s="50"/>
    </row>
    <row r="55" spans="1:16" x14ac:dyDescent="0.3">
      <c r="A55" s="55" t="s">
        <v>213</v>
      </c>
      <c r="B55" s="48" t="s">
        <v>188</v>
      </c>
      <c r="C55" s="43" t="s">
        <v>176</v>
      </c>
      <c r="E55" s="50"/>
      <c r="F55" s="50"/>
      <c r="G55" s="50"/>
      <c r="H55" s="50">
        <f>190</f>
        <v>190</v>
      </c>
      <c r="I55" s="50">
        <f>190</f>
        <v>190</v>
      </c>
      <c r="J55" s="50">
        <f>190</f>
        <v>190</v>
      </c>
      <c r="K55" s="71">
        <f>190</f>
        <v>190</v>
      </c>
      <c r="L55" s="50">
        <f>190</f>
        <v>190</v>
      </c>
      <c r="M55" s="50"/>
      <c r="N55" s="50"/>
      <c r="O55" s="50"/>
      <c r="P55" s="50"/>
    </row>
    <row r="56" spans="1:16" x14ac:dyDescent="0.3">
      <c r="A56" s="47" t="s">
        <v>214</v>
      </c>
      <c r="B56" s="48" t="s">
        <v>188</v>
      </c>
      <c r="C56" s="43" t="s">
        <v>176</v>
      </c>
      <c r="E56" s="50"/>
      <c r="F56" s="50"/>
      <c r="G56" s="50"/>
      <c r="H56" s="50">
        <f>190</f>
        <v>190</v>
      </c>
      <c r="I56" s="50">
        <f>190</f>
        <v>190</v>
      </c>
      <c r="J56" s="50">
        <f>190</f>
        <v>190</v>
      </c>
      <c r="K56" s="71">
        <f>190</f>
        <v>190</v>
      </c>
      <c r="L56" s="50">
        <f>190</f>
        <v>190</v>
      </c>
      <c r="M56" s="50"/>
      <c r="N56" s="50"/>
      <c r="O56" s="50"/>
      <c r="P56" s="50"/>
    </row>
    <row r="57" spans="1:16" x14ac:dyDescent="0.3">
      <c r="A57" s="47" t="s">
        <v>215</v>
      </c>
      <c r="B57" s="48" t="s">
        <v>188</v>
      </c>
      <c r="C57" s="43" t="s">
        <v>176</v>
      </c>
      <c r="E57" s="50"/>
      <c r="F57" s="50"/>
      <c r="G57" s="50"/>
      <c r="H57" s="50">
        <f>190</f>
        <v>190</v>
      </c>
      <c r="I57" s="50">
        <f>190</f>
        <v>190</v>
      </c>
      <c r="J57" s="50">
        <f>380</f>
        <v>380</v>
      </c>
      <c r="K57" s="71">
        <f>380</f>
        <v>380</v>
      </c>
      <c r="L57" s="50">
        <f>380</f>
        <v>380</v>
      </c>
      <c r="M57" s="50"/>
      <c r="N57" s="50"/>
      <c r="O57" s="50"/>
      <c r="P57" s="50"/>
    </row>
    <row r="58" spans="1:16" x14ac:dyDescent="0.3">
      <c r="A58" s="47" t="s">
        <v>216</v>
      </c>
      <c r="B58" s="48" t="s">
        <v>188</v>
      </c>
      <c r="C58" s="43" t="s">
        <v>176</v>
      </c>
      <c r="E58" s="50"/>
      <c r="F58" s="50"/>
      <c r="G58" s="50"/>
      <c r="H58" s="50">
        <f>190</f>
        <v>190</v>
      </c>
      <c r="I58" s="50">
        <f>190</f>
        <v>190</v>
      </c>
      <c r="J58" s="50">
        <f>380</f>
        <v>380</v>
      </c>
      <c r="K58" s="71">
        <f>380</f>
        <v>380</v>
      </c>
      <c r="L58" s="50">
        <f>380</f>
        <v>380</v>
      </c>
      <c r="M58" s="50"/>
      <c r="N58" s="50"/>
      <c r="O58" s="50"/>
      <c r="P58" s="50"/>
    </row>
    <row r="59" spans="1:16" x14ac:dyDescent="0.3">
      <c r="A59" s="47" t="s">
        <v>174</v>
      </c>
      <c r="B59" s="48" t="s">
        <v>188</v>
      </c>
      <c r="C59" s="43" t="s">
        <v>176</v>
      </c>
      <c r="E59" s="50"/>
      <c r="F59" s="50"/>
      <c r="G59" s="50"/>
      <c r="H59" s="50">
        <f>190</f>
        <v>190</v>
      </c>
      <c r="I59" s="50">
        <f>190</f>
        <v>190</v>
      </c>
      <c r="J59" s="50">
        <f>190</f>
        <v>190</v>
      </c>
      <c r="K59" s="71">
        <f>190</f>
        <v>190</v>
      </c>
      <c r="L59" s="50">
        <f>190</f>
        <v>190</v>
      </c>
      <c r="M59" s="50"/>
      <c r="N59" s="50"/>
      <c r="O59" s="50"/>
      <c r="P59" s="50"/>
    </row>
    <row r="60" spans="1:16" x14ac:dyDescent="0.3">
      <c r="A60" s="47" t="s">
        <v>174</v>
      </c>
      <c r="B60" s="48" t="s">
        <v>188</v>
      </c>
      <c r="C60" s="43" t="s">
        <v>176</v>
      </c>
      <c r="E60" s="50"/>
      <c r="F60" s="50"/>
      <c r="G60" s="50"/>
      <c r="H60" s="50">
        <f>190</f>
        <v>190</v>
      </c>
      <c r="I60" s="50">
        <f>190</f>
        <v>190</v>
      </c>
      <c r="J60" s="50">
        <f>190</f>
        <v>190</v>
      </c>
      <c r="K60" s="71">
        <f>190</f>
        <v>190</v>
      </c>
      <c r="L60" s="50">
        <f>190</f>
        <v>190</v>
      </c>
      <c r="M60" s="50"/>
      <c r="N60" s="50"/>
      <c r="O60" s="50"/>
      <c r="P60" s="50"/>
    </row>
    <row r="61" spans="1:16" x14ac:dyDescent="0.3">
      <c r="A61" s="47" t="s">
        <v>174</v>
      </c>
      <c r="B61" s="48" t="s">
        <v>188</v>
      </c>
      <c r="C61" s="43" t="s">
        <v>176</v>
      </c>
      <c r="E61" s="50"/>
      <c r="F61" s="50"/>
      <c r="G61" s="50"/>
      <c r="H61" s="50">
        <f>190</f>
        <v>190</v>
      </c>
      <c r="I61" s="50">
        <f>190</f>
        <v>190</v>
      </c>
      <c r="J61" s="50">
        <f>190</f>
        <v>190</v>
      </c>
      <c r="K61" s="71">
        <f>190</f>
        <v>190</v>
      </c>
      <c r="L61" s="50">
        <f>190</f>
        <v>190</v>
      </c>
      <c r="M61" s="50"/>
      <c r="N61" s="50"/>
      <c r="O61" s="50"/>
      <c r="P61" s="50"/>
    </row>
    <row r="62" spans="1:16" x14ac:dyDescent="0.3">
      <c r="A62" s="47" t="s">
        <v>174</v>
      </c>
      <c r="B62" s="48" t="s">
        <v>188</v>
      </c>
      <c r="C62" s="43" t="s">
        <v>176</v>
      </c>
      <c r="E62" s="50"/>
      <c r="F62" s="50"/>
      <c r="G62" s="50"/>
      <c r="H62" s="50">
        <f>190</f>
        <v>190</v>
      </c>
      <c r="I62" s="50">
        <f>190</f>
        <v>190</v>
      </c>
      <c r="J62" s="50">
        <f>190</f>
        <v>190</v>
      </c>
      <c r="K62" s="71">
        <f>190</f>
        <v>190</v>
      </c>
      <c r="L62" s="50">
        <f>190</f>
        <v>190</v>
      </c>
      <c r="M62" s="50"/>
      <c r="N62" s="50"/>
      <c r="O62" s="50"/>
      <c r="P62" s="50"/>
    </row>
    <row r="63" spans="1:16" x14ac:dyDescent="0.3">
      <c r="A63" s="47" t="s">
        <v>174</v>
      </c>
      <c r="B63" s="48" t="s">
        <v>188</v>
      </c>
      <c r="C63" s="43" t="s">
        <v>176</v>
      </c>
      <c r="E63" s="50"/>
      <c r="F63" s="50"/>
      <c r="G63" s="50"/>
      <c r="H63" s="50">
        <f>190</f>
        <v>190</v>
      </c>
      <c r="I63" s="50">
        <f>190</f>
        <v>190</v>
      </c>
      <c r="J63" s="50">
        <f>190</f>
        <v>190</v>
      </c>
      <c r="K63" s="71">
        <f>190</f>
        <v>190</v>
      </c>
      <c r="L63" s="50">
        <f>190</f>
        <v>190</v>
      </c>
      <c r="M63" s="50"/>
      <c r="N63" s="50"/>
      <c r="O63" s="50"/>
      <c r="P63" s="50"/>
    </row>
    <row r="64" spans="1:16" x14ac:dyDescent="0.3">
      <c r="A64" s="47" t="s">
        <v>174</v>
      </c>
      <c r="B64" s="48" t="s">
        <v>188</v>
      </c>
      <c r="C64" s="43" t="s">
        <v>176</v>
      </c>
      <c r="E64" s="50"/>
      <c r="F64" s="50"/>
      <c r="G64" s="50"/>
      <c r="H64" s="50">
        <f>190</f>
        <v>190</v>
      </c>
      <c r="I64" s="50">
        <f>190</f>
        <v>190</v>
      </c>
      <c r="J64" s="50">
        <f>190</f>
        <v>190</v>
      </c>
      <c r="K64" s="71">
        <f>190</f>
        <v>190</v>
      </c>
      <c r="L64" s="50">
        <f>190</f>
        <v>190</v>
      </c>
      <c r="M64" s="50"/>
      <c r="N64" s="50"/>
      <c r="O64" s="50"/>
      <c r="P64" s="50"/>
    </row>
    <row r="65" spans="1:16" x14ac:dyDescent="0.3">
      <c r="A65" s="47" t="s">
        <v>217</v>
      </c>
      <c r="B65" s="48" t="s">
        <v>188</v>
      </c>
      <c r="C65" s="43" t="s">
        <v>176</v>
      </c>
      <c r="E65" s="50"/>
      <c r="F65" s="50"/>
      <c r="G65" s="50"/>
      <c r="H65" s="50">
        <f>380</f>
        <v>380</v>
      </c>
      <c r="I65" s="50">
        <f>380</f>
        <v>380</v>
      </c>
      <c r="J65" s="50">
        <f>380</f>
        <v>380</v>
      </c>
      <c r="K65" s="71">
        <f>380</f>
        <v>380</v>
      </c>
      <c r="L65" s="50">
        <f>380</f>
        <v>380</v>
      </c>
      <c r="M65" s="50"/>
      <c r="N65" s="50"/>
      <c r="O65" s="50"/>
      <c r="P65" s="50"/>
    </row>
    <row r="66" spans="1:16" x14ac:dyDescent="0.3">
      <c r="A66" s="52" t="s">
        <v>218</v>
      </c>
      <c r="B66" s="48" t="s">
        <v>188</v>
      </c>
      <c r="C66" s="43" t="s">
        <v>176</v>
      </c>
      <c r="E66" s="50"/>
      <c r="F66" s="50"/>
      <c r="G66" s="50"/>
      <c r="H66" s="50">
        <f>190</f>
        <v>190</v>
      </c>
      <c r="I66" s="50">
        <f>190</f>
        <v>190</v>
      </c>
      <c r="J66" s="50">
        <f>190</f>
        <v>190</v>
      </c>
      <c r="K66" s="71">
        <f>190</f>
        <v>190</v>
      </c>
      <c r="L66" s="50">
        <f>190</f>
        <v>190</v>
      </c>
      <c r="M66" s="50"/>
      <c r="N66" s="50"/>
      <c r="O66" s="50"/>
      <c r="P66" s="50"/>
    </row>
    <row r="67" spans="1:16" x14ac:dyDescent="0.3">
      <c r="A67" s="47" t="s">
        <v>219</v>
      </c>
      <c r="B67" s="48" t="s">
        <v>188</v>
      </c>
      <c r="C67" s="43" t="s">
        <v>176</v>
      </c>
      <c r="E67" s="50"/>
      <c r="F67" s="50"/>
      <c r="G67" s="50"/>
      <c r="H67" s="50">
        <f>190</f>
        <v>190</v>
      </c>
      <c r="I67" s="50">
        <f>190</f>
        <v>190</v>
      </c>
      <c r="J67" s="50">
        <f>190</f>
        <v>190</v>
      </c>
      <c r="K67" s="71">
        <f>190</f>
        <v>190</v>
      </c>
      <c r="L67" s="50">
        <f>190</f>
        <v>190</v>
      </c>
      <c r="M67" s="50"/>
      <c r="N67" s="50"/>
      <c r="O67" s="50"/>
      <c r="P67" s="50"/>
    </row>
    <row r="68" spans="1:16" x14ac:dyDescent="0.3">
      <c r="A68" s="47" t="s">
        <v>219</v>
      </c>
      <c r="B68" s="48" t="s">
        <v>188</v>
      </c>
      <c r="C68" s="43" t="s">
        <v>176</v>
      </c>
      <c r="E68" s="50"/>
      <c r="F68" s="50"/>
      <c r="G68" s="50"/>
      <c r="H68" s="50">
        <f>190</f>
        <v>190</v>
      </c>
      <c r="I68" s="50">
        <f>190</f>
        <v>190</v>
      </c>
      <c r="J68" s="50">
        <f>190</f>
        <v>190</v>
      </c>
      <c r="K68" s="71">
        <f>190</f>
        <v>190</v>
      </c>
      <c r="L68" s="50">
        <f>190</f>
        <v>190</v>
      </c>
      <c r="M68" s="50"/>
      <c r="N68" s="50"/>
      <c r="O68" s="50"/>
      <c r="P68" s="50"/>
    </row>
    <row r="69" spans="1:16" x14ac:dyDescent="0.3">
      <c r="A69" s="47" t="s">
        <v>212</v>
      </c>
      <c r="B69" s="48" t="s">
        <v>188</v>
      </c>
      <c r="C69" s="43" t="s">
        <v>176</v>
      </c>
      <c r="E69" s="50"/>
      <c r="F69" s="50"/>
      <c r="G69" s="50"/>
      <c r="H69" s="50">
        <f>380</f>
        <v>380</v>
      </c>
      <c r="I69" s="50">
        <f>380</f>
        <v>380</v>
      </c>
      <c r="J69" s="50">
        <f>380</f>
        <v>380</v>
      </c>
      <c r="K69" s="71">
        <f>380</f>
        <v>380</v>
      </c>
      <c r="L69" s="50">
        <f>380</f>
        <v>380</v>
      </c>
      <c r="M69" s="50"/>
      <c r="N69" s="50"/>
      <c r="O69" s="50"/>
      <c r="P69" s="50"/>
    </row>
    <row r="70" spans="1:16" x14ac:dyDescent="0.3">
      <c r="A70" s="47" t="s">
        <v>212</v>
      </c>
      <c r="B70" s="48" t="s">
        <v>175</v>
      </c>
      <c r="C70" s="43" t="s">
        <v>176</v>
      </c>
      <c r="E70" s="50"/>
      <c r="F70" s="50"/>
      <c r="G70" s="50"/>
      <c r="H70" s="50"/>
      <c r="I70" s="50">
        <v>380</v>
      </c>
      <c r="J70" s="50">
        <f>380</f>
        <v>380</v>
      </c>
      <c r="K70" s="71">
        <f>380</f>
        <v>380</v>
      </c>
      <c r="L70" s="50">
        <f>380</f>
        <v>380</v>
      </c>
      <c r="M70" s="50">
        <f>380</f>
        <v>380</v>
      </c>
      <c r="N70" s="50"/>
      <c r="O70" s="50"/>
      <c r="P70" s="50"/>
    </row>
    <row r="71" spans="1:16" x14ac:dyDescent="0.3">
      <c r="A71" s="47" t="s">
        <v>220</v>
      </c>
      <c r="B71" s="48" t="s">
        <v>175</v>
      </c>
      <c r="C71" s="43" t="s">
        <v>176</v>
      </c>
      <c r="E71" s="50"/>
      <c r="F71" s="50"/>
      <c r="G71" s="50"/>
      <c r="H71" s="50"/>
      <c r="I71" s="50">
        <v>380</v>
      </c>
      <c r="J71" s="50">
        <f>380</f>
        <v>380</v>
      </c>
      <c r="K71" s="71">
        <f>380</f>
        <v>380</v>
      </c>
      <c r="L71" s="50">
        <f>380</f>
        <v>380</v>
      </c>
      <c r="M71" s="50">
        <f>380</f>
        <v>380</v>
      </c>
      <c r="N71" s="50"/>
      <c r="O71" s="50"/>
      <c r="P71" s="50"/>
    </row>
    <row r="72" spans="1:16" x14ac:dyDescent="0.3">
      <c r="A72" s="47" t="s">
        <v>221</v>
      </c>
      <c r="B72" s="48" t="s">
        <v>175</v>
      </c>
      <c r="C72" s="43" t="s">
        <v>176</v>
      </c>
      <c r="E72" s="50"/>
      <c r="F72" s="50"/>
      <c r="G72" s="50"/>
      <c r="H72" s="50"/>
      <c r="I72" s="50">
        <v>190</v>
      </c>
      <c r="J72" s="50">
        <v>190</v>
      </c>
      <c r="K72" s="71">
        <v>190</v>
      </c>
      <c r="L72" s="50">
        <v>190</v>
      </c>
      <c r="M72" s="50">
        <v>190</v>
      </c>
      <c r="N72" s="50"/>
      <c r="O72" s="50"/>
      <c r="P72" s="50"/>
    </row>
    <row r="73" spans="1:16" x14ac:dyDescent="0.3">
      <c r="A73" s="47" t="s">
        <v>222</v>
      </c>
      <c r="B73" s="48" t="s">
        <v>175</v>
      </c>
      <c r="C73" s="43" t="s">
        <v>176</v>
      </c>
      <c r="E73" s="50"/>
      <c r="F73" s="50"/>
      <c r="G73" s="50"/>
      <c r="H73" s="50"/>
      <c r="I73" s="50">
        <v>190</v>
      </c>
      <c r="J73" s="50">
        <f>380</f>
        <v>380</v>
      </c>
      <c r="K73" s="79">
        <f>380</f>
        <v>380</v>
      </c>
      <c r="L73" s="50">
        <f>380</f>
        <v>380</v>
      </c>
      <c r="M73" s="50">
        <f>380</f>
        <v>380</v>
      </c>
      <c r="N73" s="50"/>
      <c r="O73" s="50"/>
      <c r="P73" s="50"/>
    </row>
    <row r="74" spans="1:16" x14ac:dyDescent="0.3">
      <c r="A74" s="47" t="s">
        <v>223</v>
      </c>
      <c r="B74" s="48" t="s">
        <v>224</v>
      </c>
      <c r="C74" s="43" t="s">
        <v>176</v>
      </c>
      <c r="E74" s="50"/>
      <c r="F74" s="50"/>
      <c r="G74" s="50"/>
      <c r="H74" s="50"/>
      <c r="I74" s="50">
        <v>190</v>
      </c>
      <c r="J74" s="50">
        <f>380</f>
        <v>380</v>
      </c>
      <c r="K74" s="71">
        <f>380</f>
        <v>380</v>
      </c>
      <c r="L74" s="50">
        <f>380</f>
        <v>380</v>
      </c>
      <c r="M74" s="50">
        <f>380</f>
        <v>380</v>
      </c>
      <c r="N74" s="50">
        <f>190</f>
        <v>190</v>
      </c>
      <c r="O74" s="50"/>
      <c r="P74" s="50"/>
    </row>
    <row r="75" spans="1:16" x14ac:dyDescent="0.3">
      <c r="A75" s="47" t="s">
        <v>134</v>
      </c>
      <c r="B75" s="48" t="s">
        <v>224</v>
      </c>
      <c r="C75" s="43" t="s">
        <v>176</v>
      </c>
      <c r="E75" s="50"/>
      <c r="F75" s="50"/>
      <c r="G75" s="50"/>
      <c r="H75" s="50"/>
      <c r="I75" s="50">
        <f>380</f>
        <v>380</v>
      </c>
      <c r="J75" s="50">
        <f>380</f>
        <v>380</v>
      </c>
      <c r="K75" s="71">
        <f>380</f>
        <v>380</v>
      </c>
      <c r="L75" s="50">
        <f>380</f>
        <v>380</v>
      </c>
      <c r="M75" s="50">
        <f>380</f>
        <v>380</v>
      </c>
      <c r="N75" s="50"/>
      <c r="O75" s="50"/>
      <c r="P75" s="50"/>
    </row>
    <row r="76" spans="1:16" x14ac:dyDescent="0.3">
      <c r="A76" s="47" t="s">
        <v>225</v>
      </c>
      <c r="B76" s="48" t="s">
        <v>224</v>
      </c>
      <c r="C76" s="43" t="s">
        <v>176</v>
      </c>
      <c r="E76" s="50"/>
      <c r="F76" s="50"/>
      <c r="G76" s="50"/>
      <c r="H76" s="50"/>
      <c r="I76" s="50">
        <f>380</f>
        <v>380</v>
      </c>
      <c r="J76" s="50">
        <f>380</f>
        <v>380</v>
      </c>
      <c r="K76" s="71">
        <f>380</f>
        <v>380</v>
      </c>
      <c r="L76" s="50">
        <f>380</f>
        <v>380</v>
      </c>
      <c r="M76" s="50">
        <f>380</f>
        <v>380</v>
      </c>
      <c r="N76" s="50"/>
      <c r="O76" s="50"/>
      <c r="P76" s="50"/>
    </row>
    <row r="77" spans="1:16" x14ac:dyDescent="0.3">
      <c r="A77" s="47" t="s">
        <v>226</v>
      </c>
      <c r="B77" s="48" t="s">
        <v>224</v>
      </c>
      <c r="C77" s="43" t="s">
        <v>176</v>
      </c>
      <c r="E77" s="50"/>
      <c r="F77" s="50"/>
      <c r="G77" s="50"/>
      <c r="H77" s="50"/>
      <c r="I77" s="50">
        <f>190</f>
        <v>190</v>
      </c>
      <c r="J77" s="50">
        <f>190</f>
        <v>190</v>
      </c>
      <c r="K77" s="50">
        <f>190</f>
        <v>190</v>
      </c>
      <c r="L77" s="70">
        <f>190</f>
        <v>190</v>
      </c>
      <c r="M77" s="70">
        <f>190</f>
        <v>190</v>
      </c>
      <c r="N77" s="50"/>
      <c r="O77" s="50"/>
      <c r="P77" s="51">
        <f>SUM(L77:N77)</f>
        <v>380</v>
      </c>
    </row>
    <row r="78" spans="1:16" x14ac:dyDescent="0.3">
      <c r="A78" s="47" t="s">
        <v>334</v>
      </c>
      <c r="B78" s="48"/>
      <c r="E78" s="50"/>
      <c r="F78" s="50"/>
      <c r="G78" s="50"/>
      <c r="H78" s="50"/>
      <c r="I78" s="50"/>
      <c r="J78" s="50">
        <f>380</f>
        <v>380</v>
      </c>
      <c r="K78" s="79">
        <f>380</f>
        <v>380</v>
      </c>
      <c r="L78" s="50">
        <f>380</f>
        <v>380</v>
      </c>
      <c r="M78" s="50">
        <f>380</f>
        <v>380</v>
      </c>
      <c r="N78" s="50">
        <f>380</f>
        <v>380</v>
      </c>
      <c r="O78" s="50"/>
      <c r="P78" s="51"/>
    </row>
    <row r="79" spans="1:16" x14ac:dyDescent="0.3">
      <c r="A79" s="47" t="s">
        <v>335</v>
      </c>
      <c r="B79" s="48"/>
      <c r="E79" s="50"/>
      <c r="F79" s="50"/>
      <c r="G79" s="50"/>
      <c r="H79" s="50"/>
      <c r="I79" s="50"/>
      <c r="J79" s="50">
        <f>380</f>
        <v>380</v>
      </c>
      <c r="K79" s="71">
        <f>380</f>
        <v>380</v>
      </c>
      <c r="L79" s="50">
        <f>380</f>
        <v>380</v>
      </c>
      <c r="M79" s="50">
        <f>380</f>
        <v>380</v>
      </c>
      <c r="N79" s="50">
        <f>380</f>
        <v>380</v>
      </c>
      <c r="O79" s="50"/>
      <c r="P79" s="51"/>
    </row>
    <row r="80" spans="1:16" x14ac:dyDescent="0.3">
      <c r="A80" s="47" t="s">
        <v>336</v>
      </c>
      <c r="B80" s="48"/>
      <c r="E80" s="50"/>
      <c r="F80" s="50"/>
      <c r="G80" s="50"/>
      <c r="H80" s="50"/>
      <c r="I80" s="50"/>
      <c r="J80" s="50">
        <f>380</f>
        <v>380</v>
      </c>
      <c r="K80" s="71">
        <f>380</f>
        <v>380</v>
      </c>
      <c r="L80" s="50">
        <f>380</f>
        <v>380</v>
      </c>
      <c r="M80" s="50">
        <f>380</f>
        <v>380</v>
      </c>
      <c r="N80" s="50">
        <f>380</f>
        <v>380</v>
      </c>
      <c r="O80" s="50"/>
      <c r="P80" s="51"/>
    </row>
    <row r="81" spans="1:16" x14ac:dyDescent="0.3">
      <c r="A81" s="47" t="s">
        <v>337</v>
      </c>
      <c r="B81" s="48"/>
      <c r="E81" s="50"/>
      <c r="F81" s="50"/>
      <c r="G81" s="50"/>
      <c r="H81" s="50"/>
      <c r="J81" s="50">
        <f>380</f>
        <v>380</v>
      </c>
      <c r="K81" s="71">
        <f>380</f>
        <v>380</v>
      </c>
      <c r="L81" s="50">
        <f>380</f>
        <v>380</v>
      </c>
      <c r="M81" s="50">
        <f>380</f>
        <v>380</v>
      </c>
      <c r="N81" s="50">
        <f>380</f>
        <v>380</v>
      </c>
      <c r="O81" s="50"/>
      <c r="P81" s="51"/>
    </row>
    <row r="82" spans="1:16" x14ac:dyDescent="0.3">
      <c r="A82" t="s">
        <v>178</v>
      </c>
      <c r="B82" s="48"/>
      <c r="E82" s="50"/>
      <c r="F82" s="50"/>
      <c r="G82" s="50"/>
      <c r="H82" s="50"/>
      <c r="J82" s="50"/>
      <c r="K82" s="71">
        <f>380</f>
        <v>380</v>
      </c>
      <c r="L82" s="50">
        <f>380</f>
        <v>380</v>
      </c>
      <c r="M82" s="50">
        <f>380</f>
        <v>380</v>
      </c>
      <c r="N82" s="50">
        <f>380</f>
        <v>380</v>
      </c>
      <c r="O82" s="50">
        <f>380</f>
        <v>380</v>
      </c>
      <c r="P82" s="51"/>
    </row>
    <row r="83" spans="1:16" x14ac:dyDescent="0.3">
      <c r="A83" t="s">
        <v>178</v>
      </c>
      <c r="B83" s="48"/>
      <c r="E83" s="50"/>
      <c r="F83" s="50"/>
      <c r="G83" s="50"/>
      <c r="H83" s="50"/>
      <c r="J83" s="50"/>
      <c r="K83" s="71">
        <f>380</f>
        <v>380</v>
      </c>
      <c r="L83" s="50">
        <f>380</f>
        <v>380</v>
      </c>
      <c r="M83" s="50">
        <f>380</f>
        <v>380</v>
      </c>
      <c r="N83" s="50">
        <f>380</f>
        <v>380</v>
      </c>
      <c r="O83" s="50">
        <f>380</f>
        <v>380</v>
      </c>
      <c r="P83" s="51"/>
    </row>
    <row r="84" spans="1:16" x14ac:dyDescent="0.3">
      <c r="A84" s="47" t="s">
        <v>365</v>
      </c>
      <c r="B84" s="48"/>
      <c r="E84" s="50"/>
      <c r="F84" s="50"/>
      <c r="G84" s="50"/>
      <c r="H84" s="50"/>
      <c r="J84" s="50"/>
      <c r="K84" s="71">
        <f>380</f>
        <v>380</v>
      </c>
      <c r="L84" s="50">
        <f>380</f>
        <v>380</v>
      </c>
      <c r="M84" s="50">
        <f>380</f>
        <v>380</v>
      </c>
      <c r="N84" s="50">
        <f>380</f>
        <v>380</v>
      </c>
      <c r="O84" s="50">
        <f>380</f>
        <v>380</v>
      </c>
      <c r="P84" s="51"/>
    </row>
    <row r="85" spans="1:16" x14ac:dyDescent="0.3">
      <c r="A85" s="47" t="s">
        <v>70</v>
      </c>
      <c r="B85" s="48"/>
      <c r="E85" s="50"/>
      <c r="F85" s="50"/>
      <c r="G85" s="50"/>
      <c r="H85" s="50"/>
      <c r="J85" s="50"/>
      <c r="K85" s="71">
        <f>190</f>
        <v>190</v>
      </c>
      <c r="L85" s="50">
        <f>190</f>
        <v>190</v>
      </c>
      <c r="M85" s="50">
        <f>190</f>
        <v>190</v>
      </c>
      <c r="N85" s="50">
        <f>190</f>
        <v>190</v>
      </c>
      <c r="O85" s="50">
        <f>190</f>
        <v>190</v>
      </c>
      <c r="P85" s="51"/>
    </row>
    <row r="86" spans="1:16" x14ac:dyDescent="0.3">
      <c r="A86" s="47" t="s">
        <v>366</v>
      </c>
      <c r="B86" s="48"/>
      <c r="E86" s="50"/>
      <c r="F86" s="50"/>
      <c r="G86" s="50"/>
      <c r="H86" s="50"/>
      <c r="I86" s="50"/>
      <c r="J86" s="50"/>
      <c r="K86" s="71">
        <f>190</f>
        <v>190</v>
      </c>
      <c r="L86" s="50">
        <f>190</f>
        <v>190</v>
      </c>
      <c r="M86" s="50">
        <f>190</f>
        <v>190</v>
      </c>
      <c r="N86" s="50">
        <f>190</f>
        <v>190</v>
      </c>
      <c r="O86" s="50">
        <f>190</f>
        <v>190</v>
      </c>
      <c r="P86" s="51"/>
    </row>
    <row r="87" spans="1:16" x14ac:dyDescent="0.3">
      <c r="E87" s="50"/>
      <c r="F87" s="50"/>
      <c r="G87" s="50"/>
      <c r="H87" s="56"/>
      <c r="I87" s="56"/>
      <c r="J87" s="56"/>
      <c r="K87" s="56"/>
      <c r="L87" s="56"/>
      <c r="M87" s="56"/>
      <c r="N87" s="56"/>
      <c r="O87" s="56"/>
      <c r="P87" s="56"/>
    </row>
    <row r="88" spans="1:16" x14ac:dyDescent="0.3">
      <c r="E88" s="50"/>
      <c r="F88" s="50"/>
      <c r="G88" s="50"/>
      <c r="H88" s="57">
        <f>SUM(H4:H87)</f>
        <v>15860</v>
      </c>
      <c r="I88" s="57">
        <f t="shared" ref="I88:O88" si="2">SUM(I4:I87)</f>
        <v>18130</v>
      </c>
      <c r="J88" s="57">
        <f t="shared" si="2"/>
        <v>20460</v>
      </c>
      <c r="K88" s="57">
        <f t="shared" si="2"/>
        <v>21980</v>
      </c>
      <c r="L88" s="57">
        <f t="shared" si="2"/>
        <v>21080</v>
      </c>
      <c r="M88" s="57">
        <f t="shared" si="2"/>
        <v>5700</v>
      </c>
      <c r="N88" s="57">
        <f t="shared" si="2"/>
        <v>3230</v>
      </c>
      <c r="O88" s="57">
        <f t="shared" si="2"/>
        <v>1520</v>
      </c>
      <c r="P88" s="51">
        <f>SUM(P4:P87)</f>
        <v>3860</v>
      </c>
    </row>
    <row r="89" spans="1:16" x14ac:dyDescent="0.3">
      <c r="E89" s="50"/>
      <c r="F89" s="50"/>
      <c r="G89" s="50"/>
      <c r="H89" s="57"/>
      <c r="I89" s="57"/>
      <c r="J89" s="57"/>
      <c r="K89" s="57"/>
      <c r="L89" s="57"/>
      <c r="M89" s="57"/>
      <c r="N89" s="57"/>
      <c r="O89" s="57"/>
      <c r="P89" s="51"/>
    </row>
    <row r="90" spans="1:16" x14ac:dyDescent="0.3">
      <c r="D90" s="44" t="s">
        <v>367</v>
      </c>
      <c r="E90" s="50"/>
      <c r="F90" s="50"/>
      <c r="G90" s="50"/>
      <c r="H90" s="57"/>
      <c r="K90" s="50">
        <f>K88-1280-1000-190-200-190-380-570-570-190</f>
        <v>17410</v>
      </c>
      <c r="L90" s="57"/>
      <c r="M90" s="57"/>
      <c r="N90" s="57"/>
      <c r="O90" s="57"/>
      <c r="P90" s="51"/>
    </row>
    <row r="91" spans="1:16" x14ac:dyDescent="0.3">
      <c r="D91" s="58" t="s">
        <v>368</v>
      </c>
      <c r="E91" s="50"/>
      <c r="F91" s="50"/>
      <c r="G91" s="50"/>
      <c r="H91" s="51"/>
      <c r="I91" s="50"/>
      <c r="K91" s="56">
        <f>0</f>
        <v>0</v>
      </c>
      <c r="L91" s="59" t="s">
        <v>227</v>
      </c>
      <c r="M91" s="57"/>
      <c r="N91" s="57"/>
      <c r="O91" s="57"/>
      <c r="P91" s="51"/>
    </row>
    <row r="92" spans="1:16" x14ac:dyDescent="0.3">
      <c r="D92" s="58"/>
      <c r="E92" s="50"/>
      <c r="F92" s="50"/>
      <c r="G92" s="50"/>
      <c r="H92" s="51"/>
      <c r="I92" s="57"/>
      <c r="K92" s="57">
        <f>SUM(K90:K91)</f>
        <v>17410</v>
      </c>
      <c r="L92" s="57"/>
      <c r="M92" s="57"/>
      <c r="N92" s="57"/>
      <c r="O92" s="57"/>
      <c r="P92" s="51"/>
    </row>
    <row r="93" spans="1:16" x14ac:dyDescent="0.3">
      <c r="D93" s="44" t="s">
        <v>369</v>
      </c>
      <c r="E93" s="50"/>
      <c r="F93" s="50"/>
      <c r="G93" s="50"/>
      <c r="H93" s="57"/>
      <c r="K93" s="50">
        <f>K78+K73+K34+K49</f>
        <v>1520</v>
      </c>
      <c r="L93" s="59" t="s">
        <v>24</v>
      </c>
      <c r="M93" s="57"/>
      <c r="N93" s="57"/>
      <c r="O93" s="57"/>
      <c r="P93" s="51"/>
    </row>
    <row r="94" spans="1:16" x14ac:dyDescent="0.3">
      <c r="D94" s="44" t="s">
        <v>228</v>
      </c>
      <c r="E94" s="50"/>
      <c r="F94" s="50"/>
      <c r="G94" s="50"/>
      <c r="H94" s="57"/>
      <c r="I94" s="50"/>
      <c r="K94" s="56">
        <f>760</f>
        <v>760</v>
      </c>
      <c r="L94" s="57"/>
      <c r="M94" s="57"/>
      <c r="N94" s="57"/>
      <c r="O94" s="57"/>
      <c r="P94" s="51"/>
    </row>
    <row r="95" spans="1:16" x14ac:dyDescent="0.3">
      <c r="D95" s="44" t="s">
        <v>229</v>
      </c>
      <c r="E95" s="50"/>
      <c r="F95" s="50"/>
      <c r="G95" s="50"/>
      <c r="H95" s="57"/>
      <c r="I95" s="50"/>
      <c r="K95" s="56">
        <f>0</f>
        <v>0</v>
      </c>
      <c r="L95" s="59" t="s">
        <v>227</v>
      </c>
      <c r="M95" s="57"/>
      <c r="N95" s="57"/>
      <c r="O95" s="57"/>
      <c r="P95" s="51"/>
    </row>
    <row r="96" spans="1:16" x14ac:dyDescent="0.3">
      <c r="D96" s="46" t="s">
        <v>370</v>
      </c>
      <c r="E96" s="50"/>
      <c r="F96" s="50"/>
      <c r="G96" s="50"/>
      <c r="H96" s="57"/>
      <c r="K96" s="60">
        <f>K92-K93+K94+K95</f>
        <v>16650</v>
      </c>
      <c r="L96" s="57"/>
      <c r="M96" s="57"/>
      <c r="N96" s="57"/>
      <c r="O96" s="57"/>
      <c r="P96" s="51"/>
    </row>
    <row r="97" spans="4:16" x14ac:dyDescent="0.3">
      <c r="E97" s="50"/>
      <c r="F97" s="50"/>
      <c r="G97" s="50"/>
      <c r="H97" s="57"/>
      <c r="I97" s="57"/>
      <c r="J97" s="57"/>
      <c r="K97" s="57"/>
      <c r="L97" s="57"/>
      <c r="M97" s="57"/>
      <c r="N97" s="57"/>
      <c r="O97" s="57"/>
      <c r="P97" s="51"/>
    </row>
    <row r="98" spans="4:16" x14ac:dyDescent="0.3">
      <c r="D98" s="61"/>
      <c r="E98" s="62"/>
      <c r="F98" s="62"/>
      <c r="G98" s="62"/>
      <c r="H98" s="63">
        <f>2020</f>
        <v>2020</v>
      </c>
      <c r="I98" s="63">
        <f>2021</f>
        <v>2021</v>
      </c>
      <c r="J98" s="63">
        <f>2022</f>
        <v>2022</v>
      </c>
      <c r="K98" s="63">
        <f>2023</f>
        <v>2023</v>
      </c>
      <c r="L98" s="63">
        <f>2024</f>
        <v>2024</v>
      </c>
      <c r="M98" s="63">
        <f>2025</f>
        <v>2025</v>
      </c>
      <c r="N98" s="63">
        <f>2026</f>
        <v>2026</v>
      </c>
      <c r="O98" s="63">
        <f>2027</f>
        <v>2027</v>
      </c>
      <c r="P98" s="51"/>
    </row>
    <row r="99" spans="4:16" x14ac:dyDescent="0.3">
      <c r="D99" s="64" t="s">
        <v>230</v>
      </c>
      <c r="E99" s="65"/>
      <c r="F99" s="65"/>
      <c r="G99" s="65"/>
      <c r="H99" s="65"/>
      <c r="I99" s="65"/>
      <c r="J99" s="65"/>
      <c r="K99" s="65"/>
      <c r="L99" s="65">
        <f>L88-L14-L24-L25-L26-L27-L28-L36-L38-L41-L42-L46-L47-L48-L51-L52-L53-L77</f>
        <v>17410</v>
      </c>
      <c r="M99" s="65">
        <f>M88-M77</f>
        <v>5510</v>
      </c>
      <c r="N99" s="65">
        <f>N88</f>
        <v>3230</v>
      </c>
      <c r="O99" s="80">
        <f>O88</f>
        <v>1520</v>
      </c>
      <c r="P99" s="51"/>
    </row>
    <row r="100" spans="4:16" x14ac:dyDescent="0.3">
      <c r="D100" s="64" t="s">
        <v>231</v>
      </c>
      <c r="E100" s="65"/>
      <c r="F100" s="65"/>
      <c r="G100" s="65"/>
      <c r="H100" s="65"/>
      <c r="I100" s="65"/>
      <c r="J100" s="65"/>
      <c r="K100" s="65"/>
      <c r="L100" s="66">
        <f>L88-L99</f>
        <v>3670</v>
      </c>
      <c r="M100" s="66">
        <f t="shared" ref="M100:O100" si="3">M88-M99</f>
        <v>190</v>
      </c>
      <c r="N100" s="66">
        <f t="shared" si="3"/>
        <v>0</v>
      </c>
      <c r="O100" s="72">
        <f t="shared" si="3"/>
        <v>0</v>
      </c>
      <c r="P100" s="59">
        <f>SUM(J100:O100)</f>
        <v>3860</v>
      </c>
    </row>
    <row r="101" spans="4:16" x14ac:dyDescent="0.3">
      <c r="D101" s="67"/>
      <c r="E101" s="66"/>
      <c r="F101" s="66"/>
      <c r="G101" s="66"/>
      <c r="H101" s="68"/>
      <c r="I101" s="68"/>
      <c r="J101" s="68"/>
      <c r="K101" s="68"/>
      <c r="L101" s="68">
        <f t="shared" ref="L101:O101" si="4">SUM(L99:L100)</f>
        <v>21080</v>
      </c>
      <c r="M101" s="68">
        <f t="shared" si="4"/>
        <v>5700</v>
      </c>
      <c r="N101" s="68">
        <f t="shared" si="4"/>
        <v>3230</v>
      </c>
      <c r="O101" s="81">
        <f t="shared" si="4"/>
        <v>1520</v>
      </c>
      <c r="P101" s="51"/>
    </row>
    <row r="102" spans="4:16" x14ac:dyDescent="0.3">
      <c r="E102" s="50"/>
      <c r="F102" s="50"/>
      <c r="G102" s="50"/>
      <c r="H102" s="57"/>
      <c r="I102" s="57"/>
      <c r="J102" s="57"/>
      <c r="K102" s="57"/>
      <c r="L102" s="57"/>
      <c r="M102" s="57"/>
      <c r="N102" s="57"/>
      <c r="O102" s="57"/>
      <c r="P102" s="51"/>
    </row>
    <row r="104" spans="4:16" x14ac:dyDescent="0.3">
      <c r="D104" s="44" t="s">
        <v>367</v>
      </c>
      <c r="I104" s="50"/>
      <c r="K104" s="50">
        <f>K90</f>
        <v>17410</v>
      </c>
    </row>
    <row r="105" spans="4:16" x14ac:dyDescent="0.3">
      <c r="D105" s="44" t="s">
        <v>371</v>
      </c>
      <c r="I105" s="50"/>
      <c r="K105" s="56">
        <f>K88-K90</f>
        <v>4570</v>
      </c>
      <c r="L105" s="6" t="s">
        <v>232</v>
      </c>
    </row>
    <row r="106" spans="4:16" x14ac:dyDescent="0.3">
      <c r="D106" s="46" t="s">
        <v>372</v>
      </c>
      <c r="I106" s="50"/>
      <c r="K106" s="57">
        <f>SUM(K104:K105)</f>
        <v>21980</v>
      </c>
    </row>
  </sheetData>
  <phoneticPr fontId="5" type="noConversion"/>
  <pageMargins left="0.7" right="0.7" top="0.75" bottom="0.75" header="0.3" footer="0.3"/>
  <ignoredErrors>
    <ignoredError sqref="J77:M77 J45:L45 H54:L54" formula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5ED9-3047-44B7-BD70-0B7188E75333}">
  <sheetPr>
    <pageSetUpPr fitToPage="1"/>
  </sheetPr>
  <dimension ref="A1:K21"/>
  <sheetViews>
    <sheetView workbookViewId="0"/>
  </sheetViews>
  <sheetFormatPr defaultRowHeight="14.4" x14ac:dyDescent="0.3"/>
  <cols>
    <col min="1" max="1" width="37.77734375" customWidth="1"/>
    <col min="2" max="2" width="14.77734375" customWidth="1"/>
    <col min="3" max="3" width="9.77734375" customWidth="1"/>
    <col min="4" max="4" width="27.6640625" customWidth="1"/>
    <col min="5" max="11" width="9.77734375" customWidth="1"/>
  </cols>
  <sheetData>
    <row r="1" spans="1:11" ht="15.6" x14ac:dyDescent="0.3">
      <c r="A1" s="36" t="s">
        <v>338</v>
      </c>
      <c r="B1" s="37"/>
      <c r="C1" s="38"/>
      <c r="D1" s="39"/>
      <c r="E1" s="40"/>
      <c r="F1" s="40"/>
      <c r="G1" s="40">
        <f>G3</f>
        <v>2023</v>
      </c>
      <c r="H1" s="41"/>
      <c r="I1" s="41"/>
      <c r="J1" s="41"/>
      <c r="K1" s="42"/>
    </row>
    <row r="2" spans="1:11" x14ac:dyDescent="0.3">
      <c r="B2" s="43"/>
      <c r="C2" s="43"/>
      <c r="D2" s="44"/>
    </row>
    <row r="3" spans="1:11" x14ac:dyDescent="0.3">
      <c r="A3" s="1" t="s">
        <v>170</v>
      </c>
      <c r="B3" s="45" t="s">
        <v>171</v>
      </c>
      <c r="C3" s="45" t="s">
        <v>172</v>
      </c>
      <c r="D3" s="46" t="s">
        <v>173</v>
      </c>
      <c r="E3" s="1">
        <v>2021</v>
      </c>
      <c r="F3" s="1">
        <v>2022</v>
      </c>
      <c r="G3" s="1">
        <v>2023</v>
      </c>
      <c r="H3" s="1">
        <v>2024</v>
      </c>
      <c r="I3" s="1">
        <v>2025</v>
      </c>
      <c r="J3" s="1">
        <v>2026</v>
      </c>
      <c r="K3" s="1">
        <v>2027</v>
      </c>
    </row>
    <row r="4" spans="1:11" x14ac:dyDescent="0.3">
      <c r="A4" s="47" t="s">
        <v>174</v>
      </c>
      <c r="B4" s="48" t="s">
        <v>175</v>
      </c>
      <c r="C4" s="43" t="s">
        <v>176</v>
      </c>
      <c r="E4" s="50">
        <f>190</f>
        <v>190</v>
      </c>
      <c r="F4" s="50">
        <f>190</f>
        <v>190</v>
      </c>
      <c r="G4" s="71">
        <f>190</f>
        <v>190</v>
      </c>
      <c r="H4" s="50">
        <f>190</f>
        <v>190</v>
      </c>
      <c r="I4" s="50">
        <f>190</f>
        <v>190</v>
      </c>
      <c r="J4" s="50"/>
      <c r="K4" s="50"/>
    </row>
    <row r="5" spans="1:11" x14ac:dyDescent="0.3">
      <c r="A5" s="47" t="s">
        <v>174</v>
      </c>
      <c r="B5" s="48" t="s">
        <v>175</v>
      </c>
      <c r="C5" s="43" t="s">
        <v>176</v>
      </c>
      <c r="E5" s="50">
        <f>380</f>
        <v>380</v>
      </c>
      <c r="F5" s="50">
        <f>190</f>
        <v>190</v>
      </c>
      <c r="G5" s="71">
        <f>380</f>
        <v>380</v>
      </c>
      <c r="H5" s="50">
        <f>190</f>
        <v>190</v>
      </c>
      <c r="I5" s="50">
        <f>190</f>
        <v>190</v>
      </c>
      <c r="J5" s="50"/>
      <c r="K5" s="50"/>
    </row>
    <row r="6" spans="1:11" x14ac:dyDescent="0.3">
      <c r="A6" t="s">
        <v>177</v>
      </c>
      <c r="B6" s="48" t="s">
        <v>175</v>
      </c>
      <c r="C6" s="43" t="s">
        <v>176</v>
      </c>
      <c r="E6" s="50">
        <f>190</f>
        <v>190</v>
      </c>
      <c r="F6" s="50">
        <f>190</f>
        <v>190</v>
      </c>
      <c r="G6" s="50">
        <f>190</f>
        <v>190</v>
      </c>
      <c r="H6" s="70">
        <f>190</f>
        <v>190</v>
      </c>
      <c r="I6" s="70">
        <f>190</f>
        <v>190</v>
      </c>
      <c r="J6" s="50"/>
      <c r="K6" s="50"/>
    </row>
    <row r="7" spans="1:11" x14ac:dyDescent="0.3">
      <c r="A7" t="s">
        <v>178</v>
      </c>
      <c r="B7" s="48" t="s">
        <v>175</v>
      </c>
      <c r="C7" s="43" t="s">
        <v>176</v>
      </c>
      <c r="E7" s="50">
        <f>380</f>
        <v>380</v>
      </c>
      <c r="F7" s="50">
        <f>380</f>
        <v>380</v>
      </c>
      <c r="G7" s="71">
        <f>380</f>
        <v>380</v>
      </c>
      <c r="H7" s="50">
        <f>380</f>
        <v>380</v>
      </c>
      <c r="I7" s="50">
        <f>380</f>
        <v>380</v>
      </c>
      <c r="J7" s="50"/>
      <c r="K7" s="50"/>
    </row>
    <row r="8" spans="1:11" x14ac:dyDescent="0.3">
      <c r="A8" t="s">
        <v>179</v>
      </c>
      <c r="B8" s="48" t="s">
        <v>175</v>
      </c>
      <c r="C8" s="43" t="s">
        <v>176</v>
      </c>
      <c r="E8" s="50">
        <f>190</f>
        <v>190</v>
      </c>
      <c r="F8" s="50">
        <f>190</f>
        <v>190</v>
      </c>
      <c r="G8" s="50">
        <f>190</f>
        <v>190</v>
      </c>
      <c r="H8" s="70">
        <f>190</f>
        <v>190</v>
      </c>
      <c r="I8" s="70">
        <f>190</f>
        <v>190</v>
      </c>
      <c r="J8" s="50"/>
      <c r="K8" s="50"/>
    </row>
    <row r="9" spans="1:11" x14ac:dyDescent="0.3">
      <c r="A9" t="s">
        <v>179</v>
      </c>
      <c r="B9" s="48" t="s">
        <v>175</v>
      </c>
      <c r="C9" s="43" t="s">
        <v>176</v>
      </c>
      <c r="E9" s="50">
        <f>190</f>
        <v>190</v>
      </c>
      <c r="F9" s="50">
        <f>190</f>
        <v>190</v>
      </c>
      <c r="G9" s="50">
        <f>190</f>
        <v>190</v>
      </c>
      <c r="H9" s="70">
        <f>190</f>
        <v>190</v>
      </c>
      <c r="I9" s="70">
        <f>190</f>
        <v>190</v>
      </c>
      <c r="J9" s="50"/>
      <c r="K9" s="50"/>
    </row>
    <row r="10" spans="1:11" x14ac:dyDescent="0.3">
      <c r="A10" t="s">
        <v>68</v>
      </c>
      <c r="B10" s="48" t="s">
        <v>373</v>
      </c>
      <c r="C10" s="43" t="s">
        <v>176</v>
      </c>
      <c r="E10" s="50"/>
      <c r="F10" s="50"/>
      <c r="G10" s="71">
        <f>380</f>
        <v>380</v>
      </c>
      <c r="H10" s="50">
        <f>380</f>
        <v>380</v>
      </c>
      <c r="I10" s="50">
        <f>380</f>
        <v>380</v>
      </c>
      <c r="J10" s="50">
        <f>380</f>
        <v>380</v>
      </c>
      <c r="K10" s="50">
        <f>380</f>
        <v>380</v>
      </c>
    </row>
    <row r="11" spans="1:11" x14ac:dyDescent="0.3">
      <c r="F11" s="50"/>
    </row>
    <row r="12" spans="1:11" x14ac:dyDescent="0.3">
      <c r="A12" s="3" t="s">
        <v>374</v>
      </c>
    </row>
    <row r="13" spans="1:11" x14ac:dyDescent="0.3">
      <c r="A13" t="s">
        <v>177</v>
      </c>
      <c r="D13" t="s">
        <v>339</v>
      </c>
      <c r="E13" s="50">
        <f>190</f>
        <v>190</v>
      </c>
      <c r="F13" s="50">
        <f>0</f>
        <v>0</v>
      </c>
      <c r="G13" s="50">
        <f>0</f>
        <v>0</v>
      </c>
      <c r="H13" s="6" t="s">
        <v>180</v>
      </c>
    </row>
    <row r="14" spans="1:11" x14ac:dyDescent="0.3">
      <c r="A14" t="s">
        <v>179</v>
      </c>
      <c r="D14" t="s">
        <v>340</v>
      </c>
      <c r="E14" s="50">
        <f>30</f>
        <v>30</v>
      </c>
      <c r="F14" s="50">
        <f>30</f>
        <v>30</v>
      </c>
      <c r="G14" s="50">
        <f>30</f>
        <v>30</v>
      </c>
      <c r="H14" s="6" t="s">
        <v>180</v>
      </c>
    </row>
    <row r="15" spans="1:11" x14ac:dyDescent="0.3">
      <c r="A15" t="s">
        <v>179</v>
      </c>
      <c r="D15" t="s">
        <v>339</v>
      </c>
      <c r="E15" s="50">
        <f>1520</f>
        <v>1520</v>
      </c>
      <c r="F15" s="50">
        <f>9*190</f>
        <v>1710</v>
      </c>
      <c r="G15" s="50">
        <f>6*190</f>
        <v>1140</v>
      </c>
      <c r="H15" s="6" t="s">
        <v>16</v>
      </c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ignoredErrors>
    <ignoredError sqref="E7:I7 G5:G6 E5:F5 E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3</vt:i4>
      </vt:variant>
    </vt:vector>
  </HeadingPairs>
  <TitlesOfParts>
    <vt:vector size="8" baseType="lpstr">
      <vt:lpstr>Balans</vt:lpstr>
      <vt:lpstr>SHBM</vt:lpstr>
      <vt:lpstr>Bankmutaties</vt:lpstr>
      <vt:lpstr>Sponsoring Bymyra</vt:lpstr>
      <vt:lpstr>Sponsoring Kameroen</vt:lpstr>
      <vt:lpstr>Balans!Afdrukbereik</vt:lpstr>
      <vt:lpstr>SHBM!Afdrukbereik</vt:lpstr>
      <vt:lpstr>'Sponsoring Kameroen'!Afdrukbereik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Adri Hofenk</cp:lastModifiedBy>
  <cp:lastPrinted>2024-03-12T10:17:27Z</cp:lastPrinted>
  <dcterms:created xsi:type="dcterms:W3CDTF">2015-06-05T18:19:34Z</dcterms:created>
  <dcterms:modified xsi:type="dcterms:W3CDTF">2024-03-12T10:17:40Z</dcterms:modified>
</cp:coreProperties>
</file>